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135" windowWidth="9720" windowHeight="1305" tabRatio="959" activeTab="2"/>
  </bookViews>
  <sheets>
    <sheet name="Проезд " sheetId="1" r:id="rId1"/>
    <sheet name="Маневры" sheetId="2" r:id="rId2"/>
    <sheet name="СВОД 2019" sheetId="3" r:id="rId3"/>
    <sheet name="вне ТС" sheetId="4" state="hidden" r:id="rId4"/>
    <sheet name="ИНВЕСТ 2013" sheetId="5" state="hidden" r:id="rId5"/>
  </sheets>
  <definedNames/>
  <calcPr fullCalcOnLoad="1" refMode="R1C1"/>
</workbook>
</file>

<file path=xl/sharedStrings.xml><?xml version="1.0" encoding="utf-8"?>
<sst xmlns="http://schemas.openxmlformats.org/spreadsheetml/2006/main" count="996" uniqueCount="315">
  <si>
    <t>5.</t>
  </si>
  <si>
    <t>Прочие затраты, всего</t>
  </si>
  <si>
    <t>аренда помещений</t>
  </si>
  <si>
    <t>II.</t>
  </si>
  <si>
    <t>Расходы периода, всего</t>
  </si>
  <si>
    <t>Общие и административные расходы, всего</t>
  </si>
  <si>
    <t>страхование автотранспорта</t>
  </si>
  <si>
    <t>Расходы на выплату вознаграждения</t>
  </si>
  <si>
    <t>III.</t>
  </si>
  <si>
    <t>IV.</t>
  </si>
  <si>
    <t>V.</t>
  </si>
  <si>
    <t>Всего доходов</t>
  </si>
  <si>
    <t>Объем оказываемых услуг</t>
  </si>
  <si>
    <t>повышение квалификации кадров</t>
  </si>
  <si>
    <t>аренда автотранспорта</t>
  </si>
  <si>
    <t>Затраты на производство товаров и предоставление услуг, всего</t>
  </si>
  <si>
    <t>I</t>
  </si>
  <si>
    <t>1.2.</t>
  </si>
  <si>
    <t xml:space="preserve">Всего затрат </t>
  </si>
  <si>
    <t>Прибыль</t>
  </si>
  <si>
    <t>тыс.тенге</t>
  </si>
  <si>
    <t>№ п/п</t>
  </si>
  <si>
    <t>1.1.</t>
  </si>
  <si>
    <t>2.1.</t>
  </si>
  <si>
    <t>2.2.</t>
  </si>
  <si>
    <t>4.1.</t>
  </si>
  <si>
    <t>6.1.</t>
  </si>
  <si>
    <t>6.2.</t>
  </si>
  <si>
    <t>6.3.</t>
  </si>
  <si>
    <t>6.4.</t>
  </si>
  <si>
    <t>6.5.</t>
  </si>
  <si>
    <t>6.6.</t>
  </si>
  <si>
    <t>6.7.</t>
  </si>
  <si>
    <t>6.8.</t>
  </si>
  <si>
    <t>содержание служебного автотранспорта</t>
  </si>
  <si>
    <t>страхование персонала</t>
  </si>
  <si>
    <t>охрана</t>
  </si>
  <si>
    <t>6.9.</t>
  </si>
  <si>
    <t>в том числе:</t>
  </si>
  <si>
    <t>1.</t>
  </si>
  <si>
    <t>Материальные затраты, всего</t>
  </si>
  <si>
    <t>2.</t>
  </si>
  <si>
    <t>Затраты на оплату труда, всего</t>
  </si>
  <si>
    <t>3.</t>
  </si>
  <si>
    <t>4.</t>
  </si>
  <si>
    <t>Амортизация основных средств</t>
  </si>
  <si>
    <t>1.3.</t>
  </si>
  <si>
    <t>1.4.</t>
  </si>
  <si>
    <t>капитальный и текущий ремонт, не приводящий к увеличению стоимости основных фондов</t>
  </si>
  <si>
    <t>5.1.</t>
  </si>
  <si>
    <t>5.2.</t>
  </si>
  <si>
    <t>5.3.</t>
  </si>
  <si>
    <t>5.4.</t>
  </si>
  <si>
    <t>5.5.</t>
  </si>
  <si>
    <t>5.6.</t>
  </si>
  <si>
    <t>5.7.</t>
  </si>
  <si>
    <t>5.8.</t>
  </si>
  <si>
    <t>ИТОГО</t>
  </si>
  <si>
    <t>ГСМ</t>
  </si>
  <si>
    <t>№</t>
  </si>
  <si>
    <t>Корректировка НДС с зачета</t>
  </si>
  <si>
    <t>Услуги по организации тренировок по футболу</t>
  </si>
  <si>
    <t>Период</t>
  </si>
  <si>
    <t>Документ</t>
  </si>
  <si>
    <t>Аналитика Дт</t>
  </si>
  <si>
    <t>Аналитика Кт</t>
  </si>
  <si>
    <t>Счет 7210</t>
  </si>
  <si>
    <t>тенге, без НДС</t>
  </si>
  <si>
    <t>Счет 8400</t>
  </si>
  <si>
    <t>30.09.2013</t>
  </si>
  <si>
    <t xml:space="preserve">Налог на добавленную стоимость
</t>
  </si>
  <si>
    <t>31.12.2013</t>
  </si>
  <si>
    <t>корректировка НДС с зачета по списаным ос</t>
  </si>
  <si>
    <t>Корректировка НДС с зачета
Административно-управленческий персонал</t>
  </si>
  <si>
    <t>Астанаэнергосбыт ТОО
договор № 8017 от 09.01.2013г</t>
  </si>
  <si>
    <t>Пеня (электроэнергия)</t>
  </si>
  <si>
    <t>04.02.2013</t>
  </si>
  <si>
    <t>Операция (бухгалтерский и налоговый учет) 00000000002 от 04.02.2013 17:05:57</t>
  </si>
  <si>
    <t>Обязательные пенсионные взносы
Пени: доначислено / уплачено (самостоятельно)
Абдрашитова Айгул Камалбековна</t>
  </si>
  <si>
    <t>Пеня по ОПВ
Административно-управленческий персонал</t>
  </si>
  <si>
    <t>Обязательные пенсионные взносы
Пени: доначислено / уплачено (самостоятельно)
Корниенко Вероника Николаевна</t>
  </si>
  <si>
    <t>Обязательные пенсионные взносы
Пени: доначислено / уплачено (самостоятельно)
Будин Дмитрий Евгеньевич</t>
  </si>
  <si>
    <t>Обязательные пенсионные взносы
Пени: доначислено / уплачено (самостоятельно)
Власов Андрей Иванович</t>
  </si>
  <si>
    <t>Обязательные пенсионные взносы
Пени: доначислено / уплачено (самостоятельно)
Гелецкий Иван Николаевич</t>
  </si>
  <si>
    <t>Обязательные пенсионные взносы
Пени: доначислено / уплачено (самостоятельно)
Ихсангалиева Жания Серекпаевна</t>
  </si>
  <si>
    <t>Обязательные пенсионные взносы
Пени: доначислено / уплачено (самостоятельно)
Касымова Раушан Хасеновна</t>
  </si>
  <si>
    <t>Обязательные пенсионные взносы
Пени: доначислено / уплачено (самостоятельно)
Костенко Геннадий Викторович</t>
  </si>
  <si>
    <t>Обязательные пенсионные взносы
Пени: доначислено / уплачено (самостоятельно)
Косыгин Александр Петрович</t>
  </si>
  <si>
    <t>Обязательные пенсионные взносы
Пени: доначислено / уплачено (самостоятельно)
Куандыкова Мая Султановна</t>
  </si>
  <si>
    <t>Обязательные пенсионные взносы
Пени: доначислено / уплачено (самостоятельно)
Кулибаев Жанат Жумабекович</t>
  </si>
  <si>
    <t>Обязательные пенсионные взносы
Пени: доначислено / уплачено (самостоятельно)
Кумарова Гульмира Бейсембековна</t>
  </si>
  <si>
    <t>Обязательные пенсионные взносы
Пени: доначислено / уплачено (самостоятельно)
Мансурова Марина Николаевна</t>
  </si>
  <si>
    <t>Обязательные пенсионные взносы
Пени: доначислено / уплачено (самостоятельно)
Маукулов Канаш Абкенович</t>
  </si>
  <si>
    <t>Обязательные пенсионные взносы
Пени: доначислено / уплачено (самостоятельно)
Митрюшина Любовь Афанасьевна</t>
  </si>
  <si>
    <t>Обязательные пенсионные взносы
Пени: доначислено / уплачено (самостоятельно)
Некрасов Юрий Сергеевич</t>
  </si>
  <si>
    <t>Обязательные пенсионные взносы
Пени: доначислено / уплачено (самостоятельно)
Островенко Наталья Владимировна</t>
  </si>
  <si>
    <t>Обязательные пенсионные взносы
Пени: доначислено / уплачено (самостоятельно)
Пшенбаев Буркит Каиржанович</t>
  </si>
  <si>
    <t>Обязательные пенсионные взносы
Пени: доначислено / уплачено (самостоятельно)
Рахимжанов Назымбек Тулешович</t>
  </si>
  <si>
    <t>Обязательные пенсионные взносы
Пени: доначислено / уплачено (самостоятельно)
Садвакасов Мурат Суиндыкулы</t>
  </si>
  <si>
    <t>Обязательные пенсионные взносы
Пени: доначислено / уплачено (самостоятельно)
Сидор Василий Васильевич</t>
  </si>
  <si>
    <t>Обязательные пенсионные взносы
Пени: доначислено / уплачено (самостоятельно)
Симагамбетов Маргулан Кункабаевич</t>
  </si>
  <si>
    <t>Обязательные пенсионные взносы
Пени: доначислено / уплачено (самостоятельно)
Таймасов Равил Юсупович</t>
  </si>
  <si>
    <t>Обязательные пенсионные взносы
Пени: доначислено / уплачено (самостоятельно)
Тайшев Алиби Куанышевич</t>
  </si>
  <si>
    <t>Обязательные пенсионные взносы
Пени: доначислено / уплачено (самостоятельно)
Тастамбеков Тимур Аблаевич</t>
  </si>
  <si>
    <t>Обязательные пенсионные взносы
Пени: доначислено / уплачено (самостоятельно)
Уфимцев Сергей Викторович</t>
  </si>
  <si>
    <t>Обязательные пенсионные взносы
Пени: доначислено / уплачено (самостоятельно)
Хасенов Рустем Сагындыкович</t>
  </si>
  <si>
    <t>Обязательные пенсионные взносы
Пени: доначислено / уплачено (самостоятельно)
Шарифьянова Ильмира Рашидовна</t>
  </si>
  <si>
    <t>Питьевая вода "WaterLife"
Основной склад</t>
  </si>
  <si>
    <t>23.08.2013</t>
  </si>
  <si>
    <t>Списание ТМЗ 00000000053 от 23.08.2013 0:00:00
Списаны ТМЗ</t>
  </si>
  <si>
    <t>31.08.2013</t>
  </si>
  <si>
    <t>Списание ТМЗ 00000000055 от 31.08.2013 23:59:59
Списаны ТМЗ</t>
  </si>
  <si>
    <t>Списание ТМЗ 00000000063 от 30.09.2013 23:59:59
Списаны ТМЗ</t>
  </si>
  <si>
    <t>31.10.2013</t>
  </si>
  <si>
    <t>Списание ТМЗ 00000000068 от 31.10.2013 23:59:59
Списаны ТМЗ</t>
  </si>
  <si>
    <t>30.11.2013</t>
  </si>
  <si>
    <t>Списание ТМЗ 00000000077 от 30.11.2013 12:01:50
Списаны ТМЗ</t>
  </si>
  <si>
    <t>Списание ТМЗ 00000000083 от 31.12.2013 0:00:00
Списаны ТМЗ</t>
  </si>
  <si>
    <t>Питьевая вода</t>
  </si>
  <si>
    <t>Расходы за счет чистого дохода
Административно-управленческий персонал</t>
  </si>
  <si>
    <t>Операция00000000074 от 11.10.2013 16:43:01</t>
  </si>
  <si>
    <t>Страховая Компания "STANDART" АО
Без договора</t>
  </si>
  <si>
    <t xml:space="preserve">
Водоснабжение, отвод сточных вод</t>
  </si>
  <si>
    <t>Холодная вода и канализация
Административно-управленческий персонал</t>
  </si>
  <si>
    <t>Астана су арнасы ГКП на ПХВ
№ 4983 от 17.04.2006г.</t>
  </si>
  <si>
    <t>Водоснабжение, отвод сточ. вод - 2006г</t>
  </si>
  <si>
    <t>Обслуживание эл.сетей и подстанций</t>
  </si>
  <si>
    <t>Бланки электронные</t>
  </si>
  <si>
    <t>Услуги по изготовлению актов, договоров на землю</t>
  </si>
  <si>
    <t>Резерв по отпускам</t>
  </si>
  <si>
    <t>Амортизация ОС, вне ТС</t>
  </si>
  <si>
    <t>Сч. 7200</t>
  </si>
  <si>
    <r>
      <rPr>
        <b/>
        <sz val="10"/>
        <rFont val="Times New Roman"/>
        <family val="1"/>
      </rPr>
      <t>Пеня по ОПВ</t>
    </r>
    <r>
      <rPr>
        <sz val="10"/>
        <rFont val="Times New Roman"/>
        <family val="1"/>
      </rPr>
      <t xml:space="preserve">
Административно-управленческий персонал</t>
    </r>
  </si>
  <si>
    <t>Директор</t>
  </si>
  <si>
    <t>30.08.2013 тренер по футболу</t>
  </si>
  <si>
    <t>11.10.2013 страхование реализованного авто</t>
  </si>
  <si>
    <t>Расходы за счет чистого дохода</t>
  </si>
  <si>
    <r>
      <rPr>
        <b/>
        <i/>
        <sz val="10"/>
        <rFont val="Times New Roman"/>
        <family val="1"/>
      </rPr>
      <t>корректировка НДС с зачета</t>
    </r>
    <r>
      <rPr>
        <i/>
        <sz val="10"/>
        <rFont val="Times New Roman"/>
        <family val="1"/>
      </rPr>
      <t xml:space="preserve"> по списаному триммеру</t>
    </r>
  </si>
  <si>
    <r>
      <rPr>
        <b/>
        <i/>
        <sz val="10"/>
        <rFont val="Times New Roman"/>
        <family val="1"/>
      </rPr>
      <t>Корректировка НДС с зачета</t>
    </r>
    <r>
      <rPr>
        <i/>
        <sz val="10"/>
        <rFont val="Times New Roman"/>
        <family val="1"/>
      </rPr>
      <t xml:space="preserve">
Административно-управленческий персонал</t>
    </r>
  </si>
  <si>
    <r>
      <rPr>
        <b/>
        <i/>
        <sz val="10"/>
        <rFont val="Times New Roman"/>
        <family val="1"/>
      </rPr>
      <t>пеня (электроэнергия)</t>
    </r>
    <r>
      <rPr>
        <i/>
        <sz val="10"/>
        <rFont val="Times New Roman"/>
        <family val="1"/>
      </rPr>
      <t xml:space="preserve">
Административно-управленческий персонал</t>
    </r>
  </si>
  <si>
    <r>
      <rPr>
        <b/>
        <i/>
        <sz val="10"/>
        <rFont val="Times New Roman"/>
        <family val="1"/>
      </rPr>
      <t xml:space="preserve">Khan tengri sport </t>
    </r>
    <r>
      <rPr>
        <i/>
        <sz val="10"/>
        <rFont val="Times New Roman"/>
        <family val="1"/>
      </rPr>
      <t xml:space="preserve">
Без договора</t>
    </r>
  </si>
  <si>
    <t>Т.Тастамбеков</t>
  </si>
  <si>
    <t>Премия к 8 Марта</t>
  </si>
  <si>
    <t>Хозяйственные расходы (списание чайника)</t>
  </si>
  <si>
    <t>Единица изм.</t>
  </si>
  <si>
    <t>Наименование показателей тарифной сметы</t>
  </si>
  <si>
    <t>тариф  (без НДС)</t>
  </si>
  <si>
    <t>Справочно:</t>
  </si>
  <si>
    <t>Среднесписочная численность персонала</t>
  </si>
  <si>
    <t>человек</t>
  </si>
  <si>
    <t>Административного персонала</t>
  </si>
  <si>
    <t>Производственного персонала</t>
  </si>
  <si>
    <t>Среднемесячная заработная плата, всего</t>
  </si>
  <si>
    <t>тенге</t>
  </si>
  <si>
    <t>%</t>
  </si>
  <si>
    <t xml:space="preserve">Расходы ТОО «Темірсервис Астана» за счет чистой прибыли, 2013г. -2014 г                                                                                </t>
  </si>
  <si>
    <t>Пеня за февраль 2014г.</t>
  </si>
  <si>
    <t>31.01.2014</t>
  </si>
  <si>
    <t>28.02.2014</t>
  </si>
  <si>
    <t>31.03.2014</t>
  </si>
  <si>
    <t>30.04.2014</t>
  </si>
  <si>
    <t>31.05.2014</t>
  </si>
  <si>
    <t>Списание ТМЗ 00000000003 от 31.01.2014 16:54:02
Списаны ТМЗ</t>
  </si>
  <si>
    <t>Списание ТМЗ 00000000009 от 28.02.2014 16:50:31
Списаны ТМЗ</t>
  </si>
  <si>
    <t>Списание ТМЗ 00000000017 от 31.03.2014 23:59:59
Списаны ТМЗ</t>
  </si>
  <si>
    <t>Списание ТМЗ 00000000021 от 30.04.2014 23:59:59
Списаны ТМЗ</t>
  </si>
  <si>
    <t>Списание ТМЗ 00000000025 от 31.05.2014 23:59:59
Списаны ТМЗ</t>
  </si>
  <si>
    <t>Наименование мероприятий</t>
  </si>
  <si>
    <t>ед.изм.</t>
  </si>
  <si>
    <t>сумма тыс.тенге, без НДС</t>
  </si>
  <si>
    <t>план</t>
  </si>
  <si>
    <t>факт</t>
  </si>
  <si>
    <t>откл</t>
  </si>
  <si>
    <t>Приобретение имущественного комплекса ТОО "КТЖ"</t>
  </si>
  <si>
    <t>тыс тенге</t>
  </si>
  <si>
    <t>Южный путь (1496,74 п.м.)</t>
  </si>
  <si>
    <t>стрелочных переводов</t>
  </si>
  <si>
    <t>шт.</t>
  </si>
  <si>
    <t>переездов</t>
  </si>
  <si>
    <t>Северо-Восточный путь (0,8км)</t>
  </si>
  <si>
    <t>Сооружения (компенсатор)</t>
  </si>
  <si>
    <t>Незавершенное строительство, всего</t>
  </si>
  <si>
    <t>1.4.1.</t>
  </si>
  <si>
    <t>Незавершенное строительство Северо-Западного участка соединительного  пути (0,250 км)</t>
  </si>
  <si>
    <t>1.4.2.</t>
  </si>
  <si>
    <t>путь Южный верхний</t>
  </si>
  <si>
    <t>1.4.3.</t>
  </si>
  <si>
    <t>пути станционные приемо-отправочные</t>
  </si>
  <si>
    <t>Приобретение МСШУ-5</t>
  </si>
  <si>
    <t>Строительство и введение в эксплуатацию участков железнодорожного подъездного пути</t>
  </si>
  <si>
    <t>железнодорожный подъездной путь</t>
  </si>
  <si>
    <t>км</t>
  </si>
  <si>
    <t>стрелочные переводы</t>
  </si>
  <si>
    <t>3.1.</t>
  </si>
  <si>
    <t>Разработка ПСД</t>
  </si>
  <si>
    <t>3.2.</t>
  </si>
  <si>
    <t>Строительство и введение в эксплуатацию Северо-Западного участка соединительного  пути</t>
  </si>
  <si>
    <t>протяженность</t>
  </si>
  <si>
    <t>3.3.</t>
  </si>
  <si>
    <t>Строительство и введение в эксплуатацию Южного участка соединительного  пути</t>
  </si>
  <si>
    <t>арифметическая ошибка</t>
  </si>
  <si>
    <t>утверждено ДАРЕМ</t>
  </si>
  <si>
    <t>Закуп вне инвест.программы</t>
  </si>
  <si>
    <t>Копировальный аппарат</t>
  </si>
  <si>
    <t>Ноутбук</t>
  </si>
  <si>
    <t>ценовой перерасход по мероприятиям</t>
  </si>
  <si>
    <t>Итого необходимые средства для закрытия суммы затрат по ИП</t>
  </si>
  <si>
    <t>Закуп ОС вне тарифа:</t>
  </si>
  <si>
    <t>Кофеварка</t>
  </si>
  <si>
    <t>4.2.</t>
  </si>
  <si>
    <t>Исполнительная съемка жд путей приемочно-отправочного пункта Индустриальный парк</t>
  </si>
  <si>
    <t>4.3.</t>
  </si>
  <si>
    <t>Топографическая съемка земельных участков ТОО ТСА в масштабе 1:500</t>
  </si>
  <si>
    <t>4.4.</t>
  </si>
  <si>
    <t>Услуги по технической инвентаризации жд пути</t>
  </si>
  <si>
    <r>
      <t xml:space="preserve">Исполнение Инвестиционной программы ТОО «Темірсервис Астана»                                                                                                                                                                                            за 1 год реализации на </t>
    </r>
    <r>
      <rPr>
        <b/>
        <u val="single"/>
        <sz val="11"/>
        <rFont val="Times New Roman"/>
        <family val="1"/>
      </rPr>
      <t>01.08.2014г</t>
    </r>
  </si>
  <si>
    <t>Итого утвержденная ИП в ДАРЕМ РК</t>
  </si>
  <si>
    <t>Приобретение основных средств</t>
  </si>
  <si>
    <t>Итого вне Инвестиционной программы</t>
  </si>
  <si>
    <t>Мероприятия по введению объектов ИП                    в эксплуатацию, невошедшие в План</t>
  </si>
  <si>
    <t>тнг/ваг/км</t>
  </si>
  <si>
    <t>Запасные части</t>
  </si>
  <si>
    <t>Хозяйственные материалы</t>
  </si>
  <si>
    <t>Материалы (МВСП)</t>
  </si>
  <si>
    <t>Электроэнергия</t>
  </si>
  <si>
    <t>1.5.</t>
  </si>
  <si>
    <t>2.3.</t>
  </si>
  <si>
    <t>Социальные отчисления</t>
  </si>
  <si>
    <t xml:space="preserve">Заработная плата </t>
  </si>
  <si>
    <t>ОСМС</t>
  </si>
  <si>
    <t>Командировочные расходы</t>
  </si>
  <si>
    <t>Аренда специализированной техники</t>
  </si>
  <si>
    <t xml:space="preserve">Охрана труда </t>
  </si>
  <si>
    <t>Ремонт</t>
  </si>
  <si>
    <t>Страхование персонала</t>
  </si>
  <si>
    <t>Страхование автотранспорта</t>
  </si>
  <si>
    <t>Техосмотр автотранспорта и спецтехники</t>
  </si>
  <si>
    <t xml:space="preserve">Охрана </t>
  </si>
  <si>
    <t>Заработная плата административного персонала</t>
  </si>
  <si>
    <t>Амортизация основных средств и нематериальных активов</t>
  </si>
  <si>
    <t xml:space="preserve">Услуги сторонних организаций, всего </t>
  </si>
  <si>
    <t>Хозяйственные и прочие  материалы</t>
  </si>
  <si>
    <t>6.6.1.</t>
  </si>
  <si>
    <t>6.6.2.</t>
  </si>
  <si>
    <t>6.6.3.</t>
  </si>
  <si>
    <t>6.6.4.</t>
  </si>
  <si>
    <t>6.6.5.</t>
  </si>
  <si>
    <t>6.6.6.</t>
  </si>
  <si>
    <t>Канцелярские расходы</t>
  </si>
  <si>
    <t>6.10.</t>
  </si>
  <si>
    <t>Налоги</t>
  </si>
  <si>
    <t>Другие расходы:</t>
  </si>
  <si>
    <t>6.11.</t>
  </si>
  <si>
    <t>6.11.1.</t>
  </si>
  <si>
    <t>6.11.2.</t>
  </si>
  <si>
    <t>6.11.3.</t>
  </si>
  <si>
    <t>6.11.4.</t>
  </si>
  <si>
    <t>6.11.5.</t>
  </si>
  <si>
    <t>6.11.6.</t>
  </si>
  <si>
    <t>6.11.7.</t>
  </si>
  <si>
    <t>Аудиторские, консалтинговые и информационные услуги</t>
  </si>
  <si>
    <t>Услуги банка</t>
  </si>
  <si>
    <t>Нотариальные услуги</t>
  </si>
  <si>
    <t>Услуги связи</t>
  </si>
  <si>
    <t xml:space="preserve">Обслуживание компьютерной и копировальной техники </t>
  </si>
  <si>
    <t xml:space="preserve">Сопровождение программного обеспечения/информационных систем </t>
  </si>
  <si>
    <t>Капитальный и текущий ремонт, не приводящий к увеличению стоимости основных фондов</t>
  </si>
  <si>
    <t>тнг/ваг/час</t>
  </si>
  <si>
    <t>ваг/час</t>
  </si>
  <si>
    <t>ваг/км</t>
  </si>
  <si>
    <t>VI.</t>
  </si>
  <si>
    <t xml:space="preserve">ОСМС                          </t>
  </si>
  <si>
    <t>Принято уполномоченным органом</t>
  </si>
  <si>
    <t>Услуги оператора по дефектоскопной тележке</t>
  </si>
  <si>
    <t xml:space="preserve">Амортизация основных средств и нематериальных активов  </t>
  </si>
  <si>
    <t xml:space="preserve"> + / -</t>
  </si>
  <si>
    <t xml:space="preserve">Фактически сложившиеся показатели тарифной сметы </t>
  </si>
  <si>
    <t xml:space="preserve">Наименование показателей </t>
  </si>
  <si>
    <t>проезд, К=0,75</t>
  </si>
  <si>
    <t>маневры, К=0,25</t>
  </si>
  <si>
    <t>аудиторские, консалтинговые и информационные услуги</t>
  </si>
  <si>
    <t>услуги банка</t>
  </si>
  <si>
    <t>нотариальные услуги</t>
  </si>
  <si>
    <t>услуги связи</t>
  </si>
  <si>
    <t xml:space="preserve">обслуживание компьютерной и копировальной техники </t>
  </si>
  <si>
    <t xml:space="preserve">сопровождение программного обеспечения/информационных систем </t>
  </si>
  <si>
    <t>отклонение по году</t>
  </si>
  <si>
    <t>Принято ДКРЕМ на 2019 год</t>
  </si>
  <si>
    <t xml:space="preserve">Амортизация основных средств </t>
  </si>
  <si>
    <t>План на 9 месяцев (сред.арифм)</t>
  </si>
  <si>
    <t>Среднемес. план на 3 мес</t>
  </si>
  <si>
    <t>Факт</t>
  </si>
  <si>
    <t xml:space="preserve">Охрана труда  </t>
  </si>
  <si>
    <t xml:space="preserve">охрана </t>
  </si>
  <si>
    <t>Причины отклонения</t>
  </si>
  <si>
    <t xml:space="preserve">Производственного персонала                 </t>
  </si>
  <si>
    <r>
      <t xml:space="preserve">Административного персонала  </t>
    </r>
    <r>
      <rPr>
        <b/>
        <sz val="10"/>
        <rFont val="Times New Roman"/>
        <family val="1"/>
      </rPr>
      <t xml:space="preserve">              </t>
    </r>
  </si>
  <si>
    <t>плановые показатели выполненны</t>
  </si>
  <si>
    <t xml:space="preserve">перерасход за счет дополнительной нагрузки в период ликвидации порыва кабеля и замены опоры </t>
  </si>
  <si>
    <t>плановые показатели выполнены</t>
  </si>
  <si>
    <t>плановые показатели  выполнены</t>
  </si>
  <si>
    <t xml:space="preserve"> на регулируемые услуги по предоставлению подъездного пути для маневровых работ, погрузки-выгрузки, других технологических операций перевозочного процесса , а так же для стоянки подвижного состава, непредусмотренной технологическими операциями перевозочного процесса  при условии отсутствия конкурентного подъездного пути                                            </t>
  </si>
  <si>
    <t xml:space="preserve"> за 2019 год                                              </t>
  </si>
  <si>
    <t>начисление согласно законодательства РК "О налогах и других обязательных платежах в бюджет"</t>
  </si>
  <si>
    <t xml:space="preserve"> на регулируемые услуги по предоставлению подъездного пути для проезда подвижного состава при условии отсутствия конкурентного подъездного пути  </t>
  </si>
  <si>
    <t xml:space="preserve"> за 2019 год                                                                       </t>
  </si>
  <si>
    <t xml:space="preserve">Отчет об исполнении тарифной сметы ТОО «Темірсервис Астана»              </t>
  </si>
  <si>
    <t xml:space="preserve">Отчет об исполнении тарифной сметы ТОО «Темірсервис Астана»                      </t>
  </si>
  <si>
    <t xml:space="preserve">Отчет об исполнении тарифных смет  ТОО «Темірсервис Астана»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регулируемые услуги подъездных путей  за 2019 год                                                                </t>
  </si>
  <si>
    <t>Индекс ИТС-1</t>
  </si>
  <si>
    <t>Регулируемая база задействованных активов (РБА).</t>
  </si>
  <si>
    <t>план принят на 5-ти летний период</t>
  </si>
  <si>
    <t>VII.</t>
  </si>
  <si>
    <t>Фамилия и телефон исполнителя : Е.Аритюнова, 8 (7172) 61 33 90</t>
  </si>
  <si>
    <t xml:space="preserve">оплата произведена согласно счетам, полученным от ЕБРР 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</si>
</sst>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_-* #,##0.0000_р_._-;\-* #,##0.0000_р_._-;_-* &quot;-&quot;????_р_._-;_-@_-"/>
    <numFmt numFmtId="182" formatCode="[$-FC19]d\ mmmm\ yyyy\ &quot;г.&quot;"/>
    <numFmt numFmtId="183" formatCode="#,##0.0"/>
    <numFmt numFmtId="184" formatCode="#,##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;[Red]\-0.00"/>
    <numFmt numFmtId="190" formatCode="0.0"/>
    <numFmt numFmtId="191" formatCode="#,##0.0000"/>
    <numFmt numFmtId="192" formatCode="#,##0.00;[Red]\-#,##0.00"/>
    <numFmt numFmtId="193" formatCode="0;[Red]\-0"/>
    <numFmt numFmtId="194" formatCode="#,##0.00_ ;[Red]\-#,##0.00\ "/>
    <numFmt numFmtId="195" formatCode="0.0%"/>
    <numFmt numFmtId="196" formatCode="#,##0.00_ ;\-#,##0.00\ "/>
    <numFmt numFmtId="197" formatCode="#,##0.000_ ;\-#,##0.000\ "/>
    <numFmt numFmtId="198" formatCode="0.000"/>
    <numFmt numFmtId="199" formatCode="#,##0_ ;\-#,##0\ "/>
    <numFmt numFmtId="200" formatCode="_-* #,##0.0_р_._-;\-* #,##0.0_р_._-;_-* &quot;-&quot;?_р_._-;_-@_-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#,##0.00000_ ;\-#,##0.00000\ "/>
    <numFmt numFmtId="207" formatCode="0.000%"/>
    <numFmt numFmtId="208" formatCode="_(* #,##0.0_);_(* \(#,##0.0\);_(* &quot;-&quot;??_);_(@_)"/>
    <numFmt numFmtId="209" formatCode="_(* #,##0_);_(* \(#,##0\);_(* &quot;-&quot;??_);_(@_)"/>
    <numFmt numFmtId="210" formatCode="_-* #,##0_р_._-;\-* #,##0_р_._-;_-* &quot;-&quot;?_р_._-;_-@_-"/>
    <numFmt numFmtId="211" formatCode="_(* #,##0.000_);_(* \(#,##0.000\);_(* &quot;-&quot;??_);_(@_)"/>
    <numFmt numFmtId="212" formatCode="0000000000"/>
    <numFmt numFmtId="213" formatCode="#,##0.0;[Red]\-#,##0.0"/>
    <numFmt numFmtId="214" formatCode="#,##0;[Red]\-#,##0"/>
    <numFmt numFmtId="215" formatCode="_-* #,##0.0_р_._-;\-* #,##0.0_р_._-;_-* &quot;-&quot;??_р_._-;_-@_-"/>
    <numFmt numFmtId="216" formatCode="[$-419]mmmm\ yyyy;@"/>
    <numFmt numFmtId="217" formatCode="_-* #,##0.00_р_._-;\-* #,##0.00_р_._-;_-* &quot;-&quot;?_р_._-;_-@_-"/>
    <numFmt numFmtId="218" formatCode="_-* #,##0.000_р_._-;\-* #,##0.000_р_._-;_-* &quot;-&quot;?_р_._-;_-@_-"/>
    <numFmt numFmtId="219" formatCode="_-* #,##0.000_р_._-;\-* #,##0.000_р_._-;_-* &quot;-&quot;??_р_._-;_-@_-"/>
  </numFmts>
  <fonts count="6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b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8"/>
      <color indexed="8"/>
      <name val="Times New Roman"/>
      <family val="1"/>
    </font>
    <font>
      <sz val="9"/>
      <name val="Arial"/>
      <family val="2"/>
    </font>
    <font>
      <i/>
      <u val="single"/>
      <sz val="10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18" fillId="0" borderId="0">
      <alignment/>
      <protection/>
    </xf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359">
    <xf numFmtId="0" fontId="0" fillId="0" borderId="0" xfId="0" applyAlignment="1">
      <alignment/>
    </xf>
    <xf numFmtId="4" fontId="5" fillId="0" borderId="0" xfId="0" applyNumberFormat="1" applyFont="1" applyAlignment="1">
      <alignment vertical="center"/>
    </xf>
    <xf numFmtId="4" fontId="5" fillId="0" borderId="0" xfId="0" applyNumberFormat="1" applyFont="1" applyAlignment="1">
      <alignment horizontal="center" vertical="center"/>
    </xf>
    <xf numFmtId="4" fontId="5" fillId="0" borderId="0" xfId="0" applyNumberFormat="1" applyFont="1" applyFill="1" applyAlignment="1">
      <alignment vertical="center"/>
    </xf>
    <xf numFmtId="4" fontId="4" fillId="0" borderId="0" xfId="0" applyNumberFormat="1" applyFont="1" applyAlignment="1">
      <alignment vertical="center"/>
    </xf>
    <xf numFmtId="4" fontId="5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83" fontId="4" fillId="0" borderId="0" xfId="0" applyNumberFormat="1" applyFont="1" applyAlignment="1">
      <alignment vertical="center" wrapText="1"/>
    </xf>
    <xf numFmtId="209" fontId="3" fillId="0" borderId="10" xfId="67" applyNumberFormat="1" applyFont="1" applyFill="1" applyBorder="1" applyAlignment="1">
      <alignment horizontal="right" vertical="center" wrapText="1"/>
    </xf>
    <xf numFmtId="209" fontId="7" fillId="0" borderId="10" xfId="67" applyNumberFormat="1" applyFont="1" applyFill="1" applyBorder="1" applyAlignment="1">
      <alignment/>
    </xf>
    <xf numFmtId="209" fontId="7" fillId="0" borderId="11" xfId="67" applyNumberFormat="1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1" fillId="0" borderId="10" xfId="59" applyNumberFormat="1" applyFont="1" applyFill="1" applyBorder="1" applyAlignment="1">
      <alignment horizontal="left" vertical="top"/>
      <protection/>
    </xf>
    <xf numFmtId="0" fontId="1" fillId="0" borderId="10" xfId="59" applyNumberFormat="1" applyFont="1" applyFill="1" applyBorder="1" applyAlignment="1">
      <alignment horizontal="left" vertical="top" wrapText="1"/>
      <protection/>
    </xf>
    <xf numFmtId="1" fontId="1" fillId="0" borderId="10" xfId="59" applyNumberFormat="1" applyFont="1" applyFill="1" applyBorder="1" applyAlignment="1">
      <alignment horizontal="right" vertical="center"/>
      <protection/>
    </xf>
    <xf numFmtId="209" fontId="1" fillId="0" borderId="10" xfId="67" applyNumberFormat="1" applyFont="1" applyFill="1" applyBorder="1" applyAlignment="1">
      <alignment horizontal="right" vertical="center" wrapText="1"/>
    </xf>
    <xf numFmtId="209" fontId="6" fillId="0" borderId="10" xfId="67" applyNumberFormat="1" applyFont="1" applyFill="1" applyBorder="1" applyAlignment="1">
      <alignment/>
    </xf>
    <xf numFmtId="209" fontId="6" fillId="0" borderId="11" xfId="67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3" fillId="0" borderId="10" xfId="59" applyNumberFormat="1" applyFont="1" applyFill="1" applyBorder="1" applyAlignment="1">
      <alignment horizontal="left" vertical="top" wrapText="1"/>
      <protection/>
    </xf>
    <xf numFmtId="0" fontId="3" fillId="0" borderId="10" xfId="58" applyNumberFormat="1" applyFont="1" applyFill="1" applyBorder="1" applyAlignment="1">
      <alignment horizontal="left" vertical="top"/>
      <protection/>
    </xf>
    <xf numFmtId="1" fontId="3" fillId="0" borderId="10" xfId="58" applyNumberFormat="1" applyFont="1" applyFill="1" applyBorder="1" applyAlignment="1">
      <alignment horizontal="right" vertical="center" wrapText="1"/>
      <protection/>
    </xf>
    <xf numFmtId="1" fontId="3" fillId="0" borderId="10" xfId="58" applyNumberFormat="1" applyFont="1" applyFill="1" applyBorder="1" applyAlignment="1">
      <alignment vertical="center" wrapText="1"/>
      <protection/>
    </xf>
    <xf numFmtId="209" fontId="3" fillId="0" borderId="10" xfId="67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/>
    </xf>
    <xf numFmtId="0" fontId="3" fillId="0" borderId="10" xfId="59" applyNumberFormat="1" applyFont="1" applyFill="1" applyBorder="1" applyAlignment="1">
      <alignment horizontal="left" vertical="center" wrapText="1"/>
      <protection/>
    </xf>
    <xf numFmtId="0" fontId="8" fillId="32" borderId="0" xfId="0" applyFont="1" applyFill="1" applyAlignment="1">
      <alignment/>
    </xf>
    <xf numFmtId="0" fontId="3" fillId="32" borderId="12" xfId="59" applyNumberFormat="1" applyFont="1" applyFill="1" applyBorder="1" applyAlignment="1">
      <alignment horizontal="center" vertical="center" wrapText="1"/>
      <protection/>
    </xf>
    <xf numFmtId="0" fontId="7" fillId="32" borderId="12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2" fillId="0" borderId="15" xfId="59" applyNumberFormat="1" applyFont="1" applyBorder="1" applyAlignment="1">
      <alignment horizontal="left" vertical="top"/>
      <protection/>
    </xf>
    <xf numFmtId="0" fontId="12" fillId="0" borderId="15" xfId="59" applyNumberFormat="1" applyFont="1" applyBorder="1" applyAlignment="1">
      <alignment horizontal="left" vertical="top" wrapText="1"/>
      <protection/>
    </xf>
    <xf numFmtId="1" fontId="12" fillId="0" borderId="15" xfId="59" applyNumberFormat="1" applyFont="1" applyBorder="1" applyAlignment="1">
      <alignment horizontal="right" vertical="center"/>
      <protection/>
    </xf>
    <xf numFmtId="209" fontId="11" fillId="0" borderId="15" xfId="67" applyNumberFormat="1" applyFont="1" applyBorder="1" applyAlignment="1">
      <alignment/>
    </xf>
    <xf numFmtId="209" fontId="11" fillId="0" borderId="16" xfId="67" applyNumberFormat="1" applyFont="1" applyBorder="1" applyAlignment="1">
      <alignment vertical="center"/>
    </xf>
    <xf numFmtId="0" fontId="14" fillId="0" borderId="0" xfId="0" applyFont="1" applyAlignment="1">
      <alignment/>
    </xf>
    <xf numFmtId="0" fontId="11" fillId="0" borderId="13" xfId="0" applyFont="1" applyBorder="1" applyAlignment="1">
      <alignment horizontal="center" vertical="center"/>
    </xf>
    <xf numFmtId="0" fontId="12" fillId="0" borderId="10" xfId="59" applyNumberFormat="1" applyFont="1" applyBorder="1" applyAlignment="1">
      <alignment horizontal="left" vertical="top"/>
      <protection/>
    </xf>
    <xf numFmtId="0" fontId="12" fillId="0" borderId="10" xfId="59" applyNumberFormat="1" applyFont="1" applyBorder="1" applyAlignment="1">
      <alignment horizontal="left" vertical="top" wrapText="1"/>
      <protection/>
    </xf>
    <xf numFmtId="1" fontId="12" fillId="0" borderId="10" xfId="59" applyNumberFormat="1" applyFont="1" applyBorder="1" applyAlignment="1">
      <alignment horizontal="right" vertical="center"/>
      <protection/>
    </xf>
    <xf numFmtId="209" fontId="11" fillId="0" borderId="10" xfId="67" applyNumberFormat="1" applyFont="1" applyBorder="1" applyAlignment="1">
      <alignment/>
    </xf>
    <xf numFmtId="209" fontId="11" fillId="0" borderId="11" xfId="67" applyNumberFormat="1" applyFont="1" applyBorder="1" applyAlignment="1">
      <alignment vertical="center"/>
    </xf>
    <xf numFmtId="0" fontId="11" fillId="0" borderId="13" xfId="0" applyFont="1" applyFill="1" applyBorder="1" applyAlignment="1">
      <alignment horizontal="center" vertical="center"/>
    </xf>
    <xf numFmtId="0" fontId="12" fillId="0" borderId="10" xfId="59" applyNumberFormat="1" applyFont="1" applyFill="1" applyBorder="1" applyAlignment="1">
      <alignment horizontal="left" vertical="top"/>
      <protection/>
    </xf>
    <xf numFmtId="0" fontId="12" fillId="0" borderId="10" xfId="59" applyNumberFormat="1" applyFont="1" applyFill="1" applyBorder="1" applyAlignment="1">
      <alignment horizontal="left" vertical="top" wrapText="1"/>
      <protection/>
    </xf>
    <xf numFmtId="1" fontId="12" fillId="0" borderId="10" xfId="59" applyNumberFormat="1" applyFont="1" applyFill="1" applyBorder="1" applyAlignment="1">
      <alignment horizontal="right" vertical="center"/>
      <protection/>
    </xf>
    <xf numFmtId="209" fontId="12" fillId="0" borderId="10" xfId="67" applyNumberFormat="1" applyFont="1" applyFill="1" applyBorder="1" applyAlignment="1">
      <alignment horizontal="right" vertical="center" wrapText="1"/>
    </xf>
    <xf numFmtId="209" fontId="11" fillId="0" borderId="10" xfId="67" applyNumberFormat="1" applyFont="1" applyFill="1" applyBorder="1" applyAlignment="1">
      <alignment/>
    </xf>
    <xf numFmtId="209" fontId="11" fillId="0" borderId="11" xfId="67" applyNumberFormat="1" applyFont="1" applyFill="1" applyBorder="1" applyAlignment="1">
      <alignment vertical="center"/>
    </xf>
    <xf numFmtId="0" fontId="14" fillId="0" borderId="0" xfId="0" applyFont="1" applyFill="1" applyAlignment="1">
      <alignment/>
    </xf>
    <xf numFmtId="0" fontId="13" fillId="0" borderId="10" xfId="59" applyNumberFormat="1" applyFont="1" applyFill="1" applyBorder="1" applyAlignment="1">
      <alignment horizontal="left" vertical="top" wrapText="1"/>
      <protection/>
    </xf>
    <xf numFmtId="4" fontId="14" fillId="0" borderId="0" xfId="0" applyNumberFormat="1" applyFont="1" applyFill="1" applyAlignment="1">
      <alignment/>
    </xf>
    <xf numFmtId="0" fontId="12" fillId="0" borderId="10" xfId="58" applyNumberFormat="1" applyFont="1" applyFill="1" applyBorder="1" applyAlignment="1">
      <alignment horizontal="left" vertical="top"/>
      <protection/>
    </xf>
    <xf numFmtId="0" fontId="12" fillId="0" borderId="10" xfId="58" applyNumberFormat="1" applyFont="1" applyFill="1" applyBorder="1" applyAlignment="1">
      <alignment horizontal="left" vertical="top" wrapText="1"/>
      <protection/>
    </xf>
    <xf numFmtId="1" fontId="12" fillId="0" borderId="10" xfId="58" applyNumberFormat="1" applyFont="1" applyFill="1" applyBorder="1" applyAlignment="1">
      <alignment horizontal="right" vertical="center"/>
      <protection/>
    </xf>
    <xf numFmtId="0" fontId="7" fillId="0" borderId="10" xfId="0" applyFont="1" applyFill="1" applyBorder="1" applyAlignment="1">
      <alignment horizontal="left"/>
    </xf>
    <xf numFmtId="1" fontId="3" fillId="0" borderId="10" xfId="59" applyNumberFormat="1" applyFont="1" applyFill="1" applyBorder="1" applyAlignment="1">
      <alignment horizontal="right" vertical="center" wrapText="1"/>
      <protection/>
    </xf>
    <xf numFmtId="0" fontId="7" fillId="0" borderId="17" xfId="0" applyFont="1" applyFill="1" applyBorder="1" applyAlignment="1">
      <alignment horizontal="center" vertical="center"/>
    </xf>
    <xf numFmtId="0" fontId="3" fillId="0" borderId="12" xfId="59" applyNumberFormat="1" applyFont="1" applyFill="1" applyBorder="1" applyAlignment="1">
      <alignment horizontal="left" vertical="top" wrapText="1"/>
      <protection/>
    </xf>
    <xf numFmtId="0" fontId="3" fillId="0" borderId="12" xfId="59" applyNumberFormat="1" applyFont="1" applyFill="1" applyBorder="1" applyAlignment="1">
      <alignment horizontal="left" vertical="center" wrapText="1"/>
      <protection/>
    </xf>
    <xf numFmtId="209" fontId="3" fillId="0" borderId="12" xfId="67" applyNumberFormat="1" applyFont="1" applyFill="1" applyBorder="1" applyAlignment="1">
      <alignment horizontal="right" vertical="center" wrapText="1"/>
    </xf>
    <xf numFmtId="209" fontId="7" fillId="0" borderId="12" xfId="67" applyNumberFormat="1" applyFont="1" applyFill="1" applyBorder="1" applyAlignment="1">
      <alignment/>
    </xf>
    <xf numFmtId="209" fontId="7" fillId="0" borderId="18" xfId="67" applyNumberFormat="1" applyFont="1" applyFill="1" applyBorder="1" applyAlignment="1">
      <alignment vertical="center"/>
    </xf>
    <xf numFmtId="0" fontId="7" fillId="32" borderId="19" xfId="0" applyFont="1" applyFill="1" applyBorder="1" applyAlignment="1">
      <alignment horizontal="center" vertical="center"/>
    </xf>
    <xf numFmtId="0" fontId="7" fillId="32" borderId="20" xfId="0" applyFont="1" applyFill="1" applyBorder="1" applyAlignment="1">
      <alignment/>
    </xf>
    <xf numFmtId="0" fontId="7" fillId="32" borderId="20" xfId="0" applyFont="1" applyFill="1" applyBorder="1" applyAlignment="1">
      <alignment horizontal="right" vertical="center"/>
    </xf>
    <xf numFmtId="3" fontId="7" fillId="32" borderId="20" xfId="0" applyNumberFormat="1" applyFont="1" applyFill="1" applyBorder="1" applyAlignment="1">
      <alignment horizontal="right" vertical="center"/>
    </xf>
    <xf numFmtId="209" fontId="7" fillId="32" borderId="20" xfId="67" applyNumberFormat="1" applyFont="1" applyFill="1" applyBorder="1" applyAlignment="1">
      <alignment vertical="center"/>
    </xf>
    <xf numFmtId="209" fontId="7" fillId="32" borderId="21" xfId="67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horizontal="left"/>
    </xf>
    <xf numFmtId="1" fontId="3" fillId="0" borderId="12" xfId="59" applyNumberFormat="1" applyFont="1" applyFill="1" applyBorder="1" applyAlignment="1">
      <alignment horizontal="right" vertical="center" wrapText="1"/>
      <protection/>
    </xf>
    <xf numFmtId="4" fontId="2" fillId="0" borderId="0" xfId="51" applyNumberFormat="1" applyFont="1" applyFill="1" applyBorder="1" applyAlignment="1">
      <alignment vertical="center" wrapText="1"/>
      <protection/>
    </xf>
    <xf numFmtId="4" fontId="2" fillId="0" borderId="0" xfId="0" applyNumberFormat="1" applyFont="1" applyAlignment="1">
      <alignment vertical="center"/>
    </xf>
    <xf numFmtId="0" fontId="3" fillId="0" borderId="10" xfId="59" applyNumberFormat="1" applyFont="1" applyFill="1" applyBorder="1" applyAlignment="1">
      <alignment horizontal="left" vertical="top"/>
      <protection/>
    </xf>
    <xf numFmtId="1" fontId="1" fillId="0" borderId="10" xfId="59" applyNumberFormat="1" applyFont="1" applyFill="1" applyBorder="1" applyAlignment="1">
      <alignment horizontal="right" vertical="center" wrapText="1"/>
      <protection/>
    </xf>
    <xf numFmtId="209" fontId="12" fillId="33" borderId="15" xfId="67" applyNumberFormat="1" applyFont="1" applyFill="1" applyBorder="1" applyAlignment="1">
      <alignment horizontal="right" vertical="center" wrapText="1"/>
    </xf>
    <xf numFmtId="209" fontId="12" fillId="33" borderId="10" xfId="67" applyNumberFormat="1" applyFont="1" applyFill="1" applyBorder="1" applyAlignment="1">
      <alignment horizontal="right" vertical="center" wrapText="1"/>
    </xf>
    <xf numFmtId="209" fontId="3" fillId="33" borderId="10" xfId="67" applyNumberFormat="1" applyFont="1" applyFill="1" applyBorder="1" applyAlignment="1">
      <alignment horizontal="right" vertical="center" wrapText="1"/>
    </xf>
    <xf numFmtId="14" fontId="12" fillId="0" borderId="10" xfId="59" applyNumberFormat="1" applyFont="1" applyFill="1" applyBorder="1" applyAlignment="1">
      <alignment horizontal="left" vertical="top"/>
      <protection/>
    </xf>
    <xf numFmtId="0" fontId="15" fillId="0" borderId="22" xfId="58" applyNumberFormat="1" applyFont="1" applyBorder="1" applyAlignment="1">
      <alignment horizontal="left" vertical="top"/>
      <protection/>
    </xf>
    <xf numFmtId="0" fontId="15" fillId="0" borderId="23" xfId="58" applyNumberFormat="1" applyFont="1" applyBorder="1" applyAlignment="1">
      <alignment horizontal="left" vertical="top"/>
      <protection/>
    </xf>
    <xf numFmtId="0" fontId="15" fillId="0" borderId="10" xfId="58" applyNumberFormat="1" applyFont="1" applyBorder="1" applyAlignment="1">
      <alignment horizontal="left" vertical="top"/>
      <protection/>
    </xf>
    <xf numFmtId="0" fontId="15" fillId="0" borderId="22" xfId="58" applyNumberFormat="1" applyFont="1" applyBorder="1" applyAlignment="1">
      <alignment horizontal="left" vertical="top" wrapText="1"/>
      <protection/>
    </xf>
    <xf numFmtId="0" fontId="12" fillId="34" borderId="10" xfId="59" applyNumberFormat="1" applyFont="1" applyFill="1" applyBorder="1" applyAlignment="1">
      <alignment horizontal="left" vertical="top"/>
      <protection/>
    </xf>
    <xf numFmtId="0" fontId="13" fillId="34" borderId="10" xfId="59" applyNumberFormat="1" applyFont="1" applyFill="1" applyBorder="1" applyAlignment="1">
      <alignment horizontal="left" vertical="top" wrapText="1"/>
      <protection/>
    </xf>
    <xf numFmtId="0" fontId="12" fillId="34" borderId="10" xfId="59" applyNumberFormat="1" applyFont="1" applyFill="1" applyBorder="1" applyAlignment="1">
      <alignment horizontal="left" vertical="top" wrapText="1"/>
      <protection/>
    </xf>
    <xf numFmtId="1" fontId="12" fillId="34" borderId="10" xfId="59" applyNumberFormat="1" applyFont="1" applyFill="1" applyBorder="1" applyAlignment="1">
      <alignment horizontal="right" vertical="center"/>
      <protection/>
    </xf>
    <xf numFmtId="209" fontId="12" fillId="34" borderId="10" xfId="67" applyNumberFormat="1" applyFont="1" applyFill="1" applyBorder="1" applyAlignment="1">
      <alignment horizontal="right" vertical="center" wrapText="1"/>
    </xf>
    <xf numFmtId="0" fontId="1" fillId="0" borderId="0" xfId="56" applyFont="1">
      <alignment/>
      <protection/>
    </xf>
    <xf numFmtId="0" fontId="1" fillId="0" borderId="0" xfId="56" applyFont="1" applyAlignment="1">
      <alignment horizontal="center" vertical="center"/>
      <protection/>
    </xf>
    <xf numFmtId="0" fontId="3" fillId="0" borderId="0" xfId="56" applyFont="1" applyAlignment="1">
      <alignment horizontal="center" vertical="center" wrapText="1"/>
      <protection/>
    </xf>
    <xf numFmtId="0" fontId="3" fillId="0" borderId="13" xfId="56" applyFont="1" applyBorder="1" applyAlignment="1">
      <alignment horizontal="center" vertical="center"/>
      <protection/>
    </xf>
    <xf numFmtId="0" fontId="3" fillId="0" borderId="10" xfId="56" applyFont="1" applyBorder="1" applyAlignment="1">
      <alignment horizontal="left" wrapText="1"/>
      <protection/>
    </xf>
    <xf numFmtId="209" fontId="3" fillId="0" borderId="10" xfId="69" applyNumberFormat="1" applyFont="1" applyBorder="1" applyAlignment="1">
      <alignment vertical="center"/>
    </xf>
    <xf numFmtId="179" fontId="3" fillId="0" borderId="10" xfId="69" applyFont="1" applyBorder="1" applyAlignment="1">
      <alignment vertical="center"/>
    </xf>
    <xf numFmtId="179" fontId="3" fillId="0" borderId="11" xfId="69" applyFont="1" applyBorder="1" applyAlignment="1">
      <alignment vertical="center"/>
    </xf>
    <xf numFmtId="0" fontId="3" fillId="0" borderId="0" xfId="56" applyFont="1">
      <alignment/>
      <protection/>
    </xf>
    <xf numFmtId="43" fontId="3" fillId="0" borderId="0" xfId="56" applyNumberFormat="1" applyFont="1">
      <alignment/>
      <protection/>
    </xf>
    <xf numFmtId="0" fontId="1" fillId="0" borderId="13" xfId="56" applyFont="1" applyBorder="1" applyAlignment="1">
      <alignment horizontal="center" vertical="center"/>
      <protection/>
    </xf>
    <xf numFmtId="0" fontId="1" fillId="0" borderId="10" xfId="56" applyFont="1" applyBorder="1" applyAlignment="1">
      <alignment horizontal="left" wrapText="1"/>
      <protection/>
    </xf>
    <xf numFmtId="209" fontId="1" fillId="0" borderId="10" xfId="69" applyNumberFormat="1" applyFont="1" applyBorder="1" applyAlignment="1">
      <alignment vertical="center"/>
    </xf>
    <xf numFmtId="179" fontId="1" fillId="0" borderId="10" xfId="69" applyFont="1" applyBorder="1" applyAlignment="1">
      <alignment vertical="center"/>
    </xf>
    <xf numFmtId="0" fontId="1" fillId="0" borderId="10" xfId="56" applyFont="1" applyBorder="1" applyAlignment="1">
      <alignment wrapText="1"/>
      <protection/>
    </xf>
    <xf numFmtId="179" fontId="1" fillId="0" borderId="10" xfId="69" applyFont="1" applyBorder="1" applyAlignment="1">
      <alignment horizontal="left" vertical="center"/>
    </xf>
    <xf numFmtId="179" fontId="1" fillId="0" borderId="24" xfId="69" applyFont="1" applyFill="1" applyBorder="1" applyAlignment="1">
      <alignment vertical="center"/>
    </xf>
    <xf numFmtId="0" fontId="3" fillId="0" borderId="10" xfId="56" applyFont="1" applyBorder="1" applyAlignment="1">
      <alignment wrapText="1"/>
      <protection/>
    </xf>
    <xf numFmtId="43" fontId="1" fillId="0" borderId="0" xfId="56" applyNumberFormat="1" applyFont="1">
      <alignment/>
      <protection/>
    </xf>
    <xf numFmtId="0" fontId="3" fillId="0" borderId="0" xfId="56" applyFont="1" applyAlignment="1">
      <alignment horizontal="center" vertical="center"/>
      <protection/>
    </xf>
    <xf numFmtId="0" fontId="16" fillId="0" borderId="0" xfId="56" applyFont="1">
      <alignment/>
      <protection/>
    </xf>
    <xf numFmtId="0" fontId="3" fillId="35" borderId="0" xfId="56" applyFont="1" applyFill="1" applyAlignment="1">
      <alignment wrapText="1"/>
      <protection/>
    </xf>
    <xf numFmtId="0" fontId="3" fillId="35" borderId="0" xfId="56" applyFont="1" applyFill="1">
      <alignment/>
      <protection/>
    </xf>
    <xf numFmtId="43" fontId="3" fillId="35" borderId="0" xfId="56" applyNumberFormat="1" applyFont="1" applyFill="1">
      <alignment/>
      <protection/>
    </xf>
    <xf numFmtId="0" fontId="1" fillId="0" borderId="10" xfId="56" applyFont="1" applyBorder="1" applyAlignment="1">
      <alignment horizontal="left" vertical="center" wrapText="1"/>
      <protection/>
    </xf>
    <xf numFmtId="179" fontId="1" fillId="0" borderId="10" xfId="69" applyNumberFormat="1" applyFont="1" applyBorder="1" applyAlignment="1">
      <alignment vertical="center"/>
    </xf>
    <xf numFmtId="179" fontId="3" fillId="0" borderId="25" xfId="69" applyFont="1" applyBorder="1" applyAlignment="1">
      <alignment vertical="center"/>
    </xf>
    <xf numFmtId="179" fontId="1" fillId="0" borderId="25" xfId="69" applyFont="1" applyBorder="1" applyAlignment="1">
      <alignment vertical="center"/>
    </xf>
    <xf numFmtId="209" fontId="1" fillId="0" borderId="25" xfId="69" applyNumberFormat="1" applyFont="1" applyBorder="1" applyAlignment="1">
      <alignment vertical="center"/>
    </xf>
    <xf numFmtId="0" fontId="3" fillId="36" borderId="10" xfId="56" applyFont="1" applyFill="1" applyBorder="1" applyAlignment="1">
      <alignment horizontal="center" vertical="center" wrapText="1"/>
      <protection/>
    </xf>
    <xf numFmtId="0" fontId="3" fillId="36" borderId="11" xfId="56" applyFont="1" applyFill="1" applyBorder="1" applyAlignment="1">
      <alignment horizontal="center" vertical="center" wrapText="1"/>
      <protection/>
    </xf>
    <xf numFmtId="0" fontId="1" fillId="0" borderId="11" xfId="56" applyFont="1" applyBorder="1">
      <alignment/>
      <protection/>
    </xf>
    <xf numFmtId="179" fontId="3" fillId="0" borderId="11" xfId="67" applyFont="1" applyBorder="1" applyAlignment="1">
      <alignment vertical="center" wrapText="1"/>
    </xf>
    <xf numFmtId="0" fontId="1" fillId="0" borderId="0" xfId="56" applyFont="1" applyAlignment="1">
      <alignment vertical="top"/>
      <protection/>
    </xf>
    <xf numFmtId="0" fontId="1" fillId="0" borderId="18" xfId="56" applyFont="1" applyBorder="1">
      <alignment/>
      <protection/>
    </xf>
    <xf numFmtId="0" fontId="1" fillId="0" borderId="10" xfId="56" applyFont="1" applyBorder="1" applyAlignment="1">
      <alignment horizontal="center" vertical="center"/>
      <protection/>
    </xf>
    <xf numFmtId="0" fontId="1" fillId="0" borderId="10" xfId="56" applyFont="1" applyBorder="1">
      <alignment/>
      <protection/>
    </xf>
    <xf numFmtId="179" fontId="1" fillId="0" borderId="0" xfId="67" applyNumberFormat="1" applyFont="1" applyAlignment="1">
      <alignment/>
    </xf>
    <xf numFmtId="0" fontId="1" fillId="0" borderId="17" xfId="56" applyFont="1" applyBorder="1" applyAlignment="1">
      <alignment horizontal="center" vertical="center"/>
      <protection/>
    </xf>
    <xf numFmtId="0" fontId="1" fillId="0" borderId="12" xfId="56" applyFont="1" applyBorder="1" applyAlignment="1">
      <alignment wrapText="1"/>
      <protection/>
    </xf>
    <xf numFmtId="209" fontId="1" fillId="0" borderId="12" xfId="69" applyNumberFormat="1" applyFont="1" applyBorder="1" applyAlignment="1">
      <alignment vertical="center"/>
    </xf>
    <xf numFmtId="209" fontId="1" fillId="0" borderId="26" xfId="69" applyNumberFormat="1" applyFont="1" applyBorder="1" applyAlignment="1">
      <alignment vertical="center"/>
    </xf>
    <xf numFmtId="0" fontId="3" fillId="0" borderId="27" xfId="56" applyFont="1" applyBorder="1" applyAlignment="1">
      <alignment horizontal="center" vertical="center"/>
      <protection/>
    </xf>
    <xf numFmtId="0" fontId="3" fillId="0" borderId="28" xfId="56" applyFont="1" applyBorder="1" applyAlignment="1">
      <alignment vertical="center" wrapText="1"/>
      <protection/>
    </xf>
    <xf numFmtId="209" fontId="3" fillId="0" borderId="28" xfId="69" applyNumberFormat="1" applyFont="1" applyBorder="1" applyAlignment="1">
      <alignment vertical="center"/>
    </xf>
    <xf numFmtId="179" fontId="3" fillId="0" borderId="28" xfId="69" applyNumberFormat="1" applyFont="1" applyBorder="1" applyAlignment="1">
      <alignment vertical="center"/>
    </xf>
    <xf numFmtId="0" fontId="1" fillId="0" borderId="29" xfId="56" applyFont="1" applyBorder="1">
      <alignment/>
      <protection/>
    </xf>
    <xf numFmtId="0" fontId="1" fillId="32" borderId="19" xfId="56" applyFont="1" applyFill="1" applyBorder="1" applyAlignment="1">
      <alignment horizontal="center" vertical="center"/>
      <protection/>
    </xf>
    <xf numFmtId="0" fontId="3" fillId="32" borderId="20" xfId="56" applyFont="1" applyFill="1" applyBorder="1" applyAlignment="1">
      <alignment wrapText="1"/>
      <protection/>
    </xf>
    <xf numFmtId="209" fontId="3" fillId="32" borderId="20" xfId="69" applyNumberFormat="1" applyFont="1" applyFill="1" applyBorder="1" applyAlignment="1">
      <alignment vertical="center"/>
    </xf>
    <xf numFmtId="179" fontId="3" fillId="32" borderId="20" xfId="69" applyFont="1" applyFill="1" applyBorder="1" applyAlignment="1">
      <alignment/>
    </xf>
    <xf numFmtId="179" fontId="3" fillId="32" borderId="21" xfId="69" applyFont="1" applyFill="1" applyBorder="1" applyAlignment="1">
      <alignment/>
    </xf>
    <xf numFmtId="0" fontId="3" fillId="34" borderId="10" xfId="56" applyFont="1" applyFill="1" applyBorder="1" applyAlignment="1">
      <alignment wrapText="1"/>
      <protection/>
    </xf>
    <xf numFmtId="43" fontId="3" fillId="0" borderId="28" xfId="56" applyNumberFormat="1" applyFont="1" applyBorder="1">
      <alignment/>
      <protection/>
    </xf>
    <xf numFmtId="0" fontId="1" fillId="0" borderId="28" xfId="56" applyFont="1" applyBorder="1">
      <alignment/>
      <protection/>
    </xf>
    <xf numFmtId="179" fontId="1" fillId="0" borderId="30" xfId="69" applyFont="1" applyBorder="1" applyAlignment="1">
      <alignment vertical="center"/>
    </xf>
    <xf numFmtId="0" fontId="1" fillId="0" borderId="31" xfId="56" applyFont="1" applyBorder="1">
      <alignment/>
      <protection/>
    </xf>
    <xf numFmtId="179" fontId="3" fillId="34" borderId="10" xfId="69" applyFont="1" applyFill="1" applyBorder="1" applyAlignment="1">
      <alignment/>
    </xf>
    <xf numFmtId="0" fontId="1" fillId="0" borderId="12" xfId="56" applyFont="1" applyBorder="1" applyAlignment="1">
      <alignment horizontal="center" vertical="center"/>
      <protection/>
    </xf>
    <xf numFmtId="0" fontId="1" fillId="0" borderId="12" xfId="56" applyFont="1" applyBorder="1">
      <alignment/>
      <protection/>
    </xf>
    <xf numFmtId="43" fontId="3" fillId="0" borderId="12" xfId="56" applyNumberFormat="1" applyFont="1" applyBorder="1">
      <alignment/>
      <protection/>
    </xf>
    <xf numFmtId="179" fontId="1" fillId="0" borderId="26" xfId="69" applyFont="1" applyBorder="1" applyAlignment="1">
      <alignment vertical="center"/>
    </xf>
    <xf numFmtId="0" fontId="3" fillId="32" borderId="10" xfId="56" applyFont="1" applyFill="1" applyBorder="1" applyAlignment="1">
      <alignment horizontal="center" vertical="center" wrapText="1"/>
      <protection/>
    </xf>
    <xf numFmtId="0" fontId="3" fillId="32" borderId="10" xfId="56" applyFont="1" applyFill="1" applyBorder="1" applyAlignment="1">
      <alignment vertical="center" wrapText="1"/>
      <protection/>
    </xf>
    <xf numFmtId="179" fontId="3" fillId="32" borderId="10" xfId="69" applyFont="1" applyFill="1" applyBorder="1" applyAlignment="1">
      <alignment vertical="center" wrapText="1"/>
    </xf>
    <xf numFmtId="0" fontId="3" fillId="34" borderId="13" xfId="56" applyFont="1" applyFill="1" applyBorder="1" applyAlignment="1">
      <alignment horizontal="center" vertical="center"/>
      <protection/>
    </xf>
    <xf numFmtId="179" fontId="1" fillId="0" borderId="0" xfId="67" applyFont="1" applyAlignment="1">
      <alignment/>
    </xf>
    <xf numFmtId="179" fontId="1" fillId="0" borderId="0" xfId="56" applyNumberFormat="1" applyFont="1">
      <alignment/>
      <protection/>
    </xf>
    <xf numFmtId="49" fontId="5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" fontId="5" fillId="0" borderId="0" xfId="51" applyNumberFormat="1" applyFont="1" applyFill="1" applyBorder="1" applyAlignment="1">
      <alignment vertical="center" wrapText="1"/>
      <protection/>
    </xf>
    <xf numFmtId="4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" fontId="4" fillId="0" borderId="0" xfId="51" applyNumberFormat="1" applyFont="1" applyFill="1" applyBorder="1" applyAlignment="1">
      <alignment vertical="center" wrapText="1"/>
      <protection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Alignment="1">
      <alignment horizontal="left" vertical="center"/>
    </xf>
    <xf numFmtId="4" fontId="5" fillId="0" borderId="0" xfId="0" applyNumberFormat="1" applyFont="1" applyFill="1" applyBorder="1" applyAlignment="1">
      <alignment horizontal="center"/>
    </xf>
    <xf numFmtId="183" fontId="2" fillId="0" borderId="0" xfId="0" applyNumberFormat="1" applyFont="1" applyFill="1" applyAlignment="1">
      <alignment horizontal="center" vertical="center" wrapText="1"/>
    </xf>
    <xf numFmtId="4" fontId="1" fillId="0" borderId="10" xfId="51" applyNumberFormat="1" applyFont="1" applyFill="1" applyBorder="1" applyAlignment="1">
      <alignment horizontal="center" vertical="center" wrapText="1"/>
      <protection/>
    </xf>
    <xf numFmtId="4" fontId="1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horizontal="center" vertical="center"/>
    </xf>
    <xf numFmtId="49" fontId="1" fillId="0" borderId="13" xfId="51" applyNumberFormat="1" applyFont="1" applyFill="1" applyBorder="1" applyAlignment="1">
      <alignment horizontal="center" vertical="center"/>
      <protection/>
    </xf>
    <xf numFmtId="4" fontId="1" fillId="0" borderId="10" xfId="51" applyNumberFormat="1" applyFont="1" applyFill="1" applyBorder="1" applyAlignment="1">
      <alignment horizontal="right" vertical="center" wrapText="1"/>
      <protection/>
    </xf>
    <xf numFmtId="4" fontId="3" fillId="0" borderId="10" xfId="51" applyNumberFormat="1" applyFont="1" applyFill="1" applyBorder="1" applyAlignment="1">
      <alignment vertical="center" wrapText="1"/>
      <protection/>
    </xf>
    <xf numFmtId="4" fontId="3" fillId="0" borderId="10" xfId="51" applyNumberFormat="1" applyFont="1" applyFill="1" applyBorder="1" applyAlignment="1">
      <alignment horizontal="center" vertical="center" wrapText="1"/>
      <protection/>
    </xf>
    <xf numFmtId="4" fontId="1" fillId="0" borderId="10" xfId="51" applyNumberFormat="1" applyFont="1" applyFill="1" applyBorder="1" applyAlignment="1">
      <alignment vertical="center" wrapText="1"/>
      <protection/>
    </xf>
    <xf numFmtId="49" fontId="3" fillId="0" borderId="14" xfId="51" applyNumberFormat="1" applyFont="1" applyFill="1" applyBorder="1" applyAlignment="1">
      <alignment horizontal="center" vertical="center"/>
      <protection/>
    </xf>
    <xf numFmtId="4" fontId="3" fillId="0" borderId="15" xfId="51" applyNumberFormat="1" applyFont="1" applyFill="1" applyBorder="1" applyAlignment="1">
      <alignment vertical="center" wrapText="1"/>
      <protection/>
    </xf>
    <xf numFmtId="4" fontId="3" fillId="0" borderId="15" xfId="51" applyNumberFormat="1" applyFont="1" applyFill="1" applyBorder="1" applyAlignment="1">
      <alignment horizontal="center" vertical="center" wrapText="1"/>
      <protection/>
    </xf>
    <xf numFmtId="49" fontId="3" fillId="0" borderId="13" xfId="51" applyNumberFormat="1" applyFont="1" applyFill="1" applyBorder="1" applyAlignment="1">
      <alignment horizontal="center" vertical="center"/>
      <protection/>
    </xf>
    <xf numFmtId="183" fontId="1" fillId="0" borderId="10" xfId="0" applyNumberFormat="1" applyFont="1" applyFill="1" applyBorder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3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4" fontId="1" fillId="0" borderId="33" xfId="51" applyNumberFormat="1" applyFont="1" applyFill="1" applyBorder="1" applyAlignment="1">
      <alignment vertical="center" wrapText="1"/>
      <protection/>
    </xf>
    <xf numFmtId="4" fontId="1" fillId="0" borderId="33" xfId="0" applyNumberFormat="1" applyFont="1" applyFill="1" applyBorder="1" applyAlignment="1">
      <alignment horizontal="center" vertical="center"/>
    </xf>
    <xf numFmtId="4" fontId="1" fillId="0" borderId="33" xfId="51" applyNumberFormat="1" applyFont="1" applyFill="1" applyBorder="1" applyAlignment="1">
      <alignment horizontal="center" vertical="center" wrapText="1"/>
      <protection/>
    </xf>
    <xf numFmtId="49" fontId="1" fillId="0" borderId="32" xfId="51" applyNumberFormat="1" applyFont="1" applyFill="1" applyBorder="1" applyAlignment="1">
      <alignment horizontal="center" vertical="center"/>
      <protection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" fontId="19" fillId="0" borderId="0" xfId="0" applyNumberFormat="1" applyFont="1" applyFill="1" applyAlignment="1">
      <alignment vertical="center"/>
    </xf>
    <xf numFmtId="4" fontId="1" fillId="0" borderId="10" xfId="0" applyNumberFormat="1" applyFont="1" applyFill="1" applyBorder="1" applyAlignment="1">
      <alignment vertical="center"/>
    </xf>
    <xf numFmtId="4" fontId="1" fillId="0" borderId="10" xfId="51" applyNumberFormat="1" applyFont="1" applyFill="1" applyBorder="1" applyAlignment="1">
      <alignment vertical="center"/>
      <protection/>
    </xf>
    <xf numFmtId="183" fontId="5" fillId="0" borderId="0" xfId="0" applyNumberFormat="1" applyFont="1" applyFill="1" applyAlignment="1">
      <alignment vertical="center"/>
    </xf>
    <xf numFmtId="183" fontId="3" fillId="0" borderId="10" xfId="0" applyNumberFormat="1" applyFont="1" applyFill="1" applyBorder="1" applyAlignment="1">
      <alignment vertical="center"/>
    </xf>
    <xf numFmtId="183" fontId="4" fillId="0" borderId="0" xfId="0" applyNumberFormat="1" applyFont="1" applyFill="1" applyBorder="1" applyAlignment="1">
      <alignment vertical="center"/>
    </xf>
    <xf numFmtId="183" fontId="5" fillId="0" borderId="0" xfId="0" applyNumberFormat="1" applyFont="1" applyFill="1" applyBorder="1" applyAlignment="1">
      <alignment vertical="center"/>
    </xf>
    <xf numFmtId="183" fontId="3" fillId="0" borderId="10" xfId="0" applyNumberFormat="1" applyFont="1" applyFill="1" applyBorder="1" applyAlignment="1">
      <alignment horizontal="right" vertical="center"/>
    </xf>
    <xf numFmtId="183" fontId="1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4" fontId="1" fillId="0" borderId="33" xfId="0" applyNumberFormat="1" applyFont="1" applyFill="1" applyBorder="1" applyAlignment="1">
      <alignment horizontal="right" vertical="center"/>
    </xf>
    <xf numFmtId="183" fontId="1" fillId="0" borderId="33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183" fontId="1" fillId="0" borderId="12" xfId="0" applyNumberFormat="1" applyFont="1" applyFill="1" applyBorder="1" applyAlignment="1">
      <alignment horizontal="right" vertical="center"/>
    </xf>
    <xf numFmtId="183" fontId="3" fillId="0" borderId="15" xfId="0" applyNumberFormat="1" applyFont="1" applyFill="1" applyBorder="1" applyAlignment="1">
      <alignment horizontal="right" vertical="center"/>
    </xf>
    <xf numFmtId="183" fontId="3" fillId="0" borderId="16" xfId="0" applyNumberFormat="1" applyFont="1" applyFill="1" applyBorder="1" applyAlignment="1">
      <alignment horizontal="right" vertical="center"/>
    </xf>
    <xf numFmtId="183" fontId="3" fillId="0" borderId="11" xfId="0" applyNumberFormat="1" applyFont="1" applyFill="1" applyBorder="1" applyAlignment="1">
      <alignment horizontal="right" vertical="center"/>
    </xf>
    <xf numFmtId="183" fontId="1" fillId="0" borderId="11" xfId="0" applyNumberFormat="1" applyFont="1" applyFill="1" applyBorder="1" applyAlignment="1">
      <alignment horizontal="right" vertical="center"/>
    </xf>
    <xf numFmtId="183" fontId="1" fillId="0" borderId="18" xfId="0" applyNumberFormat="1" applyFont="1" applyFill="1" applyBorder="1" applyAlignment="1">
      <alignment horizontal="right" vertical="center"/>
    </xf>
    <xf numFmtId="183" fontId="1" fillId="0" borderId="34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vertical="center" wrapText="1"/>
    </xf>
    <xf numFmtId="4" fontId="1" fillId="0" borderId="0" xfId="51" applyNumberFormat="1" applyFont="1" applyFill="1" applyBorder="1" applyAlignment="1">
      <alignment vertical="center" wrapText="1"/>
      <protection/>
    </xf>
    <xf numFmtId="4" fontId="1" fillId="0" borderId="0" xfId="0" applyNumberFormat="1" applyFont="1" applyFill="1" applyBorder="1" applyAlignment="1">
      <alignment horizontal="center" vertical="center"/>
    </xf>
    <xf numFmtId="183" fontId="1" fillId="0" borderId="0" xfId="0" applyNumberFormat="1" applyFont="1" applyFill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" fontId="3" fillId="0" borderId="0" xfId="51" applyNumberFormat="1" applyFont="1" applyFill="1" applyBorder="1" applyAlignment="1">
      <alignment vertical="center" wrapText="1"/>
      <protection/>
    </xf>
    <xf numFmtId="4" fontId="3" fillId="0" borderId="0" xfId="0" applyNumberFormat="1" applyFont="1" applyFill="1" applyBorder="1" applyAlignment="1">
      <alignment vertical="center"/>
    </xf>
    <xf numFmtId="183" fontId="3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183" fontId="1" fillId="0" borderId="0" xfId="0" applyNumberFormat="1" applyFont="1" applyFill="1" applyBorder="1" applyAlignment="1">
      <alignment vertical="center"/>
    </xf>
    <xf numFmtId="183" fontId="2" fillId="0" borderId="15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183" fontId="3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right" vertical="center"/>
    </xf>
    <xf numFmtId="183" fontId="3" fillId="0" borderId="35" xfId="0" applyNumberFormat="1" applyFont="1" applyFill="1" applyBorder="1" applyAlignment="1">
      <alignment vertical="center"/>
    </xf>
    <xf numFmtId="183" fontId="3" fillId="0" borderId="36" xfId="0" applyNumberFormat="1" applyFont="1" applyFill="1" applyBorder="1" applyAlignment="1">
      <alignment vertical="center"/>
    </xf>
    <xf numFmtId="183" fontId="1" fillId="0" borderId="36" xfId="0" applyNumberFormat="1" applyFont="1" applyFill="1" applyBorder="1" applyAlignment="1">
      <alignment vertical="center"/>
    </xf>
    <xf numFmtId="183" fontId="1" fillId="0" borderId="37" xfId="0" applyNumberFormat="1" applyFont="1" applyFill="1" applyBorder="1" applyAlignment="1">
      <alignment vertical="center"/>
    </xf>
    <xf numFmtId="183" fontId="3" fillId="0" borderId="38" xfId="0" applyNumberFormat="1" applyFont="1" applyFill="1" applyBorder="1" applyAlignment="1">
      <alignment vertical="center"/>
    </xf>
    <xf numFmtId="183" fontId="1" fillId="0" borderId="38" xfId="0" applyNumberFormat="1" applyFont="1" applyFill="1" applyBorder="1" applyAlignment="1">
      <alignment vertical="center"/>
    </xf>
    <xf numFmtId="4" fontId="1" fillId="0" borderId="36" xfId="0" applyNumberFormat="1" applyFont="1" applyFill="1" applyBorder="1" applyAlignment="1">
      <alignment vertical="center"/>
    </xf>
    <xf numFmtId="4" fontId="3" fillId="0" borderId="36" xfId="0" applyNumberFormat="1" applyFont="1" applyFill="1" applyBorder="1" applyAlignment="1">
      <alignment vertical="center"/>
    </xf>
    <xf numFmtId="4" fontId="1" fillId="0" borderId="37" xfId="0" applyNumberFormat="1" applyFont="1" applyFill="1" applyBorder="1" applyAlignment="1">
      <alignment vertical="center"/>
    </xf>
    <xf numFmtId="4" fontId="1" fillId="0" borderId="18" xfId="0" applyNumberFormat="1" applyFont="1" applyFill="1" applyBorder="1" applyAlignment="1">
      <alignment horizontal="center" vertical="center" wrapText="1"/>
    </xf>
    <xf numFmtId="183" fontId="1" fillId="0" borderId="16" xfId="0" applyNumberFormat="1" applyFont="1" applyFill="1" applyBorder="1" applyAlignment="1">
      <alignment horizontal="right" vertical="center"/>
    </xf>
    <xf numFmtId="183" fontId="3" fillId="0" borderId="10" xfId="69" applyNumberFormat="1" applyFont="1" applyFill="1" applyBorder="1" applyAlignment="1">
      <alignment horizontal="right" vertical="center"/>
    </xf>
    <xf numFmtId="4" fontId="1" fillId="0" borderId="10" xfId="51" applyNumberFormat="1" applyFont="1" applyFill="1" applyBorder="1" applyAlignment="1">
      <alignment horizontal="center" vertical="center"/>
      <protection/>
    </xf>
    <xf numFmtId="4" fontId="1" fillId="0" borderId="10" xfId="51" applyNumberFormat="1" applyFont="1" applyFill="1" applyBorder="1" applyAlignment="1">
      <alignment horizontal="right" vertical="center"/>
      <protection/>
    </xf>
    <xf numFmtId="4" fontId="1" fillId="0" borderId="0" xfId="0" applyNumberFormat="1" applyFont="1" applyFill="1" applyAlignment="1">
      <alignment horizontal="right" vertical="center"/>
    </xf>
    <xf numFmtId="183" fontId="3" fillId="0" borderId="10" xfId="69" applyNumberFormat="1" applyFont="1" applyFill="1" applyBorder="1" applyAlignment="1">
      <alignment vertical="center"/>
    </xf>
    <xf numFmtId="49" fontId="3" fillId="37" borderId="17" xfId="51" applyNumberFormat="1" applyFont="1" applyFill="1" applyBorder="1" applyAlignment="1">
      <alignment horizontal="center" vertical="center"/>
      <protection/>
    </xf>
    <xf numFmtId="4" fontId="3" fillId="37" borderId="12" xfId="51" applyNumberFormat="1" applyFont="1" applyFill="1" applyBorder="1" applyAlignment="1">
      <alignment vertical="center" wrapText="1"/>
      <protection/>
    </xf>
    <xf numFmtId="4" fontId="3" fillId="37" borderId="12" xfId="51" applyNumberFormat="1" applyFont="1" applyFill="1" applyBorder="1" applyAlignment="1">
      <alignment horizontal="center" vertical="center" wrapText="1"/>
      <protection/>
    </xf>
    <xf numFmtId="183" fontId="3" fillId="37" borderId="12" xfId="0" applyNumberFormat="1" applyFont="1" applyFill="1" applyBorder="1" applyAlignment="1">
      <alignment horizontal="right" vertical="center"/>
    </xf>
    <xf numFmtId="183" fontId="3" fillId="37" borderId="18" xfId="0" applyNumberFormat="1" applyFont="1" applyFill="1" applyBorder="1" applyAlignment="1">
      <alignment horizontal="right" vertical="center"/>
    </xf>
    <xf numFmtId="49" fontId="1" fillId="0" borderId="17" xfId="51" applyNumberFormat="1" applyFont="1" applyFill="1" applyBorder="1" applyAlignment="1">
      <alignment horizontal="center" vertical="center"/>
      <protection/>
    </xf>
    <xf numFmtId="4" fontId="1" fillId="0" borderId="12" xfId="51" applyNumberFormat="1" applyFont="1" applyFill="1" applyBorder="1" applyAlignment="1">
      <alignment horizontal="center" vertical="center" wrapText="1"/>
      <protection/>
    </xf>
    <xf numFmtId="49" fontId="1" fillId="0" borderId="14" xfId="0" applyNumberFormat="1" applyFont="1" applyFill="1" applyBorder="1" applyAlignment="1">
      <alignment horizontal="center" vertical="center"/>
    </xf>
    <xf numFmtId="4" fontId="1" fillId="0" borderId="15" xfId="51" applyNumberFormat="1" applyFont="1" applyFill="1" applyBorder="1" applyAlignment="1">
      <alignment vertical="center" wrapText="1"/>
      <protection/>
    </xf>
    <xf numFmtId="4" fontId="1" fillId="0" borderId="15" xfId="51" applyNumberFormat="1" applyFont="1" applyFill="1" applyBorder="1" applyAlignment="1">
      <alignment horizontal="center" vertical="center"/>
      <protection/>
    </xf>
    <xf numFmtId="4" fontId="1" fillId="0" borderId="15" xfId="51" applyNumberFormat="1" applyFont="1" applyFill="1" applyBorder="1" applyAlignment="1">
      <alignment horizontal="right" vertical="center"/>
      <protection/>
    </xf>
    <xf numFmtId="183" fontId="1" fillId="0" borderId="15" xfId="0" applyNumberFormat="1" applyFont="1" applyFill="1" applyBorder="1" applyAlignment="1">
      <alignment horizontal="right" vertical="center"/>
    </xf>
    <xf numFmtId="4" fontId="1" fillId="0" borderId="15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right" vertical="center"/>
    </xf>
    <xf numFmtId="4" fontId="21" fillId="0" borderId="11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 horizontal="right" vertical="center" wrapText="1"/>
    </xf>
    <xf numFmtId="4" fontId="22" fillId="34" borderId="11" xfId="0" applyNumberFormat="1" applyFont="1" applyFill="1" applyBorder="1" applyAlignment="1">
      <alignment horizontal="right" vertical="center" wrapText="1"/>
    </xf>
    <xf numFmtId="4" fontId="22" fillId="34" borderId="11" xfId="52" applyNumberFormat="1" applyFont="1" applyFill="1" applyBorder="1" applyAlignment="1">
      <alignment horizontal="right" vertical="center" wrapText="1"/>
      <protection/>
    </xf>
    <xf numFmtId="4" fontId="21" fillId="0" borderId="11" xfId="0" applyNumberFormat="1" applyFont="1" applyFill="1" applyBorder="1" applyAlignment="1">
      <alignment horizontal="right" vertical="center"/>
    </xf>
    <xf numFmtId="3" fontId="1" fillId="0" borderId="33" xfId="0" applyNumberFormat="1" applyFont="1" applyFill="1" applyBorder="1" applyAlignment="1">
      <alignment horizontal="right" vertical="center"/>
    </xf>
    <xf numFmtId="4" fontId="22" fillId="34" borderId="34" xfId="0" applyNumberFormat="1" applyFont="1" applyFill="1" applyBorder="1" applyAlignment="1">
      <alignment horizontal="right" vertical="center" wrapText="1"/>
    </xf>
    <xf numFmtId="49" fontId="3" fillId="32" borderId="39" xfId="51" applyNumberFormat="1" applyFont="1" applyFill="1" applyBorder="1" applyAlignment="1">
      <alignment vertical="center" wrapText="1"/>
      <protection/>
    </xf>
    <xf numFmtId="4" fontId="3" fillId="32" borderId="40" xfId="51" applyNumberFormat="1" applyFont="1" applyFill="1" applyBorder="1" applyAlignment="1">
      <alignment vertical="center" wrapText="1"/>
      <protection/>
    </xf>
    <xf numFmtId="4" fontId="3" fillId="32" borderId="40" xfId="0" applyNumberFormat="1" applyFont="1" applyFill="1" applyBorder="1" applyAlignment="1">
      <alignment horizontal="center" vertical="center" wrapText="1"/>
    </xf>
    <xf numFmtId="4" fontId="20" fillId="32" borderId="40" xfId="52" applyNumberFormat="1" applyFont="1" applyFill="1" applyBorder="1" applyAlignment="1">
      <alignment horizontal="center" vertical="center" wrapText="1"/>
      <protection/>
    </xf>
    <xf numFmtId="183" fontId="4" fillId="32" borderId="40" xfId="0" applyNumberFormat="1" applyFont="1" applyFill="1" applyBorder="1" applyAlignment="1">
      <alignment horizontal="center" vertical="center" wrapText="1"/>
    </xf>
    <xf numFmtId="4" fontId="4" fillId="32" borderId="40" xfId="0" applyNumberFormat="1" applyFont="1" applyFill="1" applyBorder="1" applyAlignment="1">
      <alignment horizontal="center" vertical="center" wrapText="1"/>
    </xf>
    <xf numFmtId="4" fontId="4" fillId="32" borderId="41" xfId="0" applyNumberFormat="1" applyFont="1" applyFill="1" applyBorder="1" applyAlignment="1">
      <alignment horizontal="center" vertical="center" wrapText="1"/>
    </xf>
    <xf numFmtId="4" fontId="21" fillId="0" borderId="16" xfId="0" applyNumberFormat="1" applyFont="1" applyFill="1" applyBorder="1" applyAlignment="1">
      <alignment horizontal="right" vertical="center" wrapText="1"/>
    </xf>
    <xf numFmtId="4" fontId="3" fillId="0" borderId="10" xfId="51" applyNumberFormat="1" applyFont="1" applyFill="1" applyBorder="1" applyAlignment="1">
      <alignment horizontal="left" vertical="center" wrapText="1"/>
      <protection/>
    </xf>
    <xf numFmtId="49" fontId="3" fillId="32" borderId="14" xfId="51" applyNumberFormat="1" applyFont="1" applyFill="1" applyBorder="1" applyAlignment="1">
      <alignment horizontal="center" vertical="center" wrapText="1"/>
      <protection/>
    </xf>
    <xf numFmtId="4" fontId="3" fillId="32" borderId="15" xfId="51" applyNumberFormat="1" applyFont="1" applyFill="1" applyBorder="1" applyAlignment="1">
      <alignment horizontal="center" vertical="center"/>
      <protection/>
    </xf>
    <xf numFmtId="4" fontId="3" fillId="32" borderId="15" xfId="51" applyNumberFormat="1" applyFont="1" applyFill="1" applyBorder="1" applyAlignment="1">
      <alignment horizontal="center" vertical="center" wrapText="1"/>
      <protection/>
    </xf>
    <xf numFmtId="4" fontId="3" fillId="32" borderId="15" xfId="0" applyNumberFormat="1" applyFont="1" applyFill="1" applyBorder="1" applyAlignment="1">
      <alignment horizontal="center" vertical="center" wrapText="1"/>
    </xf>
    <xf numFmtId="4" fontId="20" fillId="32" borderId="15" xfId="52" applyNumberFormat="1" applyFont="1" applyFill="1" applyBorder="1" applyAlignment="1">
      <alignment horizontal="center" vertical="center" wrapText="1"/>
      <protection/>
    </xf>
    <xf numFmtId="183" fontId="4" fillId="32" borderId="15" xfId="0" applyNumberFormat="1" applyFont="1" applyFill="1" applyBorder="1" applyAlignment="1">
      <alignment horizontal="center" vertical="center" wrapText="1"/>
    </xf>
    <xf numFmtId="4" fontId="4" fillId="32" borderId="15" xfId="0" applyNumberFormat="1" applyFont="1" applyFill="1" applyBorder="1" applyAlignment="1">
      <alignment horizontal="center" vertical="center" wrapText="1"/>
    </xf>
    <xf numFmtId="4" fontId="4" fillId="32" borderId="16" xfId="0" applyNumberFormat="1" applyFont="1" applyFill="1" applyBorder="1" applyAlignment="1">
      <alignment horizontal="center" vertical="center" wrapText="1"/>
    </xf>
    <xf numFmtId="49" fontId="3" fillId="0" borderId="13" xfId="51" applyNumberFormat="1" applyFont="1" applyFill="1" applyBorder="1" applyAlignment="1">
      <alignment horizontal="left" vertical="center"/>
      <protection/>
    </xf>
    <xf numFmtId="49" fontId="1" fillId="0" borderId="13" xfId="51" applyNumberFormat="1" applyFont="1" applyFill="1" applyBorder="1" applyAlignment="1">
      <alignment horizontal="left" vertical="center"/>
      <protection/>
    </xf>
    <xf numFmtId="3" fontId="1" fillId="0" borderId="33" xfId="0" applyNumberFormat="1" applyFont="1" applyFill="1" applyBorder="1" applyAlignment="1">
      <alignment vertical="center"/>
    </xf>
    <xf numFmtId="183" fontId="1" fillId="0" borderId="33" xfId="0" applyNumberFormat="1" applyFont="1" applyFill="1" applyBorder="1" applyAlignment="1">
      <alignment vertical="center"/>
    </xf>
    <xf numFmtId="183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left" vertical="center"/>
    </xf>
    <xf numFmtId="183" fontId="2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center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42" xfId="0" applyNumberFormat="1" applyFont="1" applyFill="1" applyBorder="1" applyAlignment="1">
      <alignment horizontal="left" vertical="center" wrapText="1"/>
    </xf>
    <xf numFmtId="4" fontId="3" fillId="0" borderId="15" xfId="51" applyNumberFormat="1" applyFont="1" applyFill="1" applyBorder="1" applyAlignment="1">
      <alignment horizontal="center" vertical="center" wrapText="1"/>
      <protection/>
    </xf>
    <xf numFmtId="4" fontId="3" fillId="0" borderId="12" xfId="51" applyNumberFormat="1" applyFont="1" applyFill="1" applyBorder="1" applyAlignment="1">
      <alignment horizontal="center" vertical="center" wrapText="1"/>
      <protection/>
    </xf>
    <xf numFmtId="49" fontId="3" fillId="0" borderId="14" xfId="51" applyNumberFormat="1" applyFont="1" applyFill="1" applyBorder="1" applyAlignment="1">
      <alignment horizontal="center" vertical="center" wrapText="1"/>
      <protection/>
    </xf>
    <xf numFmtId="49" fontId="3" fillId="0" borderId="17" xfId="51" applyNumberFormat="1" applyFont="1" applyFill="1" applyBorder="1" applyAlignment="1">
      <alignment horizontal="center" vertical="center" wrapText="1"/>
      <protection/>
    </xf>
    <xf numFmtId="4" fontId="21" fillId="0" borderId="15" xfId="0" applyNumberFormat="1" applyFont="1" applyFill="1" applyBorder="1" applyAlignment="1">
      <alignment horizontal="center" vertical="center" wrapText="1"/>
    </xf>
    <xf numFmtId="4" fontId="21" fillId="0" borderId="12" xfId="0" applyNumberFormat="1" applyFont="1" applyFill="1" applyBorder="1" applyAlignment="1">
      <alignment horizontal="center" vertical="center" wrapText="1"/>
    </xf>
    <xf numFmtId="49" fontId="3" fillId="0" borderId="13" xfId="51" applyNumberFormat="1" applyFont="1" applyFill="1" applyBorder="1" applyAlignment="1">
      <alignment horizontal="center" vertical="center"/>
      <protection/>
    </xf>
    <xf numFmtId="4" fontId="1" fillId="0" borderId="10" xfId="51" applyNumberFormat="1" applyFont="1" applyFill="1" applyBorder="1" applyAlignment="1">
      <alignment horizontal="left" vertical="center"/>
      <protection/>
    </xf>
    <xf numFmtId="4" fontId="1" fillId="0" borderId="12" xfId="51" applyNumberFormat="1" applyFont="1" applyFill="1" applyBorder="1" applyAlignment="1">
      <alignment horizontal="left" vertical="center"/>
      <protection/>
    </xf>
    <xf numFmtId="4" fontId="3" fillId="0" borderId="10" xfId="51" applyNumberFormat="1" applyFont="1" applyFill="1" applyBorder="1" applyAlignment="1">
      <alignment horizontal="left" vertical="center" wrapText="1"/>
      <protection/>
    </xf>
    <xf numFmtId="4" fontId="3" fillId="0" borderId="43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183" fontId="2" fillId="0" borderId="15" xfId="0" applyNumberFormat="1" applyFont="1" applyFill="1" applyBorder="1" applyAlignment="1">
      <alignment horizontal="center" vertical="center" wrapText="1"/>
    </xf>
    <xf numFmtId="183" fontId="2" fillId="0" borderId="16" xfId="0" applyNumberFormat="1" applyFont="1" applyFill="1" applyBorder="1" applyAlignment="1">
      <alignment horizontal="center" vertical="center" wrapText="1"/>
    </xf>
    <xf numFmtId="4" fontId="3" fillId="0" borderId="35" xfId="0" applyNumberFormat="1" applyFont="1" applyFill="1" applyBorder="1" applyAlignment="1">
      <alignment horizontal="center" vertical="center" wrapText="1"/>
    </xf>
    <xf numFmtId="4" fontId="3" fillId="0" borderId="38" xfId="0" applyNumberFormat="1" applyFont="1" applyFill="1" applyBorder="1" applyAlignment="1">
      <alignment horizontal="center" vertical="center" wrapText="1"/>
    </xf>
    <xf numFmtId="183" fontId="21" fillId="0" borderId="15" xfId="52" applyNumberFormat="1" applyFont="1" applyFill="1" applyBorder="1" applyAlignment="1">
      <alignment horizontal="center" vertical="center" wrapText="1"/>
      <protection/>
    </xf>
    <xf numFmtId="183" fontId="21" fillId="0" borderId="12" xfId="52" applyNumberFormat="1" applyFont="1" applyFill="1" applyBorder="1" applyAlignment="1">
      <alignment horizontal="center" vertical="center" wrapText="1"/>
      <protection/>
    </xf>
    <xf numFmtId="0" fontId="7" fillId="32" borderId="20" xfId="0" applyFont="1" applyFill="1" applyBorder="1" applyAlignment="1">
      <alignment horizontal="left" vertical="center"/>
    </xf>
    <xf numFmtId="183" fontId="2" fillId="0" borderId="0" xfId="0" applyNumberFormat="1" applyFont="1" applyAlignment="1">
      <alignment horizontal="center" vertical="center" wrapText="1"/>
    </xf>
    <xf numFmtId="0" fontId="7" fillId="0" borderId="10" xfId="0" applyFont="1" applyFill="1" applyBorder="1" applyAlignment="1">
      <alignment horizontal="left"/>
    </xf>
    <xf numFmtId="1" fontId="3" fillId="0" borderId="10" xfId="59" applyNumberFormat="1" applyFont="1" applyFill="1" applyBorder="1" applyAlignment="1">
      <alignment horizontal="right" vertical="center" wrapText="1"/>
      <protection/>
    </xf>
    <xf numFmtId="0" fontId="7" fillId="0" borderId="12" xfId="0" applyFont="1" applyFill="1" applyBorder="1" applyAlignment="1">
      <alignment horizontal="left"/>
    </xf>
    <xf numFmtId="4" fontId="3" fillId="0" borderId="12" xfId="59" applyNumberFormat="1" applyFont="1" applyFill="1" applyBorder="1" applyAlignment="1">
      <alignment horizontal="right" vertical="center" wrapText="1"/>
      <protection/>
    </xf>
    <xf numFmtId="1" fontId="12" fillId="0" borderId="10" xfId="58" applyNumberFormat="1" applyFont="1" applyFill="1" applyBorder="1" applyAlignment="1">
      <alignment horizontal="right" vertical="center" wrapText="1"/>
      <protection/>
    </xf>
    <xf numFmtId="0" fontId="3" fillId="0" borderId="10" xfId="58" applyNumberFormat="1" applyFont="1" applyFill="1" applyBorder="1" applyAlignment="1">
      <alignment horizontal="left" vertical="top"/>
      <protection/>
    </xf>
    <xf numFmtId="1" fontId="3" fillId="0" borderId="10" xfId="58" applyNumberFormat="1" applyFont="1" applyFill="1" applyBorder="1" applyAlignment="1">
      <alignment horizontal="right" vertical="center" wrapText="1"/>
      <protection/>
    </xf>
    <xf numFmtId="0" fontId="3" fillId="0" borderId="10" xfId="58" applyNumberFormat="1" applyFont="1" applyFill="1" applyBorder="1" applyAlignment="1">
      <alignment horizontal="left" vertical="top" wrapText="1"/>
      <protection/>
    </xf>
    <xf numFmtId="0" fontId="7" fillId="0" borderId="10" xfId="0" applyFont="1" applyFill="1" applyBorder="1" applyAlignment="1">
      <alignment horizontal="left" wrapText="1"/>
    </xf>
    <xf numFmtId="1" fontId="12" fillId="0" borderId="10" xfId="59" applyNumberFormat="1" applyFont="1" applyFill="1" applyBorder="1" applyAlignment="1">
      <alignment horizontal="right" vertical="center" wrapText="1"/>
      <protection/>
    </xf>
    <xf numFmtId="0" fontId="3" fillId="0" borderId="10" xfId="59" applyNumberFormat="1" applyFont="1" applyFill="1" applyBorder="1" applyAlignment="1">
      <alignment horizontal="left" vertical="top"/>
      <protection/>
    </xf>
    <xf numFmtId="1" fontId="12" fillId="34" borderId="10" xfId="59" applyNumberFormat="1" applyFont="1" applyFill="1" applyBorder="1" applyAlignment="1">
      <alignment horizontal="right" vertical="center" wrapText="1"/>
      <protection/>
    </xf>
    <xf numFmtId="1" fontId="1" fillId="0" borderId="25" xfId="59" applyNumberFormat="1" applyFont="1" applyFill="1" applyBorder="1" applyAlignment="1">
      <alignment horizontal="right" vertical="center" wrapText="1"/>
      <protection/>
    </xf>
    <xf numFmtId="1" fontId="1" fillId="0" borderId="44" xfId="59" applyNumberFormat="1" applyFont="1" applyFill="1" applyBorder="1" applyAlignment="1">
      <alignment horizontal="right" vertical="center" wrapText="1"/>
      <protection/>
    </xf>
    <xf numFmtId="1" fontId="1" fillId="0" borderId="45" xfId="59" applyNumberFormat="1" applyFont="1" applyFill="1" applyBorder="1" applyAlignment="1">
      <alignment horizontal="right" vertical="center" wrapText="1"/>
      <protection/>
    </xf>
    <xf numFmtId="1" fontId="1" fillId="0" borderId="10" xfId="59" applyNumberFormat="1" applyFont="1" applyFill="1" applyBorder="1" applyAlignment="1">
      <alignment horizontal="right" vertical="center" wrapText="1"/>
      <protection/>
    </xf>
    <xf numFmtId="1" fontId="12" fillId="0" borderId="15" xfId="59" applyNumberFormat="1" applyFont="1" applyBorder="1" applyAlignment="1">
      <alignment horizontal="right" vertical="center" wrapText="1"/>
      <protection/>
    </xf>
    <xf numFmtId="1" fontId="12" fillId="0" borderId="10" xfId="59" applyNumberFormat="1" applyFont="1" applyBorder="1" applyAlignment="1">
      <alignment horizontal="right" vertical="center" wrapText="1"/>
      <protection/>
    </xf>
    <xf numFmtId="0" fontId="6" fillId="32" borderId="39" xfId="0" applyFont="1" applyFill="1" applyBorder="1" applyAlignment="1">
      <alignment horizontal="center" vertical="center"/>
    </xf>
    <xf numFmtId="0" fontId="6" fillId="32" borderId="46" xfId="0" applyFont="1" applyFill="1" applyBorder="1" applyAlignment="1">
      <alignment horizontal="center" vertical="center"/>
    </xf>
    <xf numFmtId="0" fontId="3" fillId="32" borderId="15" xfId="59" applyNumberFormat="1" applyFont="1" applyFill="1" applyBorder="1" applyAlignment="1">
      <alignment horizontal="center" vertical="center"/>
      <protection/>
    </xf>
    <xf numFmtId="0" fontId="3" fillId="32" borderId="12" xfId="59" applyNumberFormat="1" applyFont="1" applyFill="1" applyBorder="1" applyAlignment="1">
      <alignment horizontal="center" vertical="center"/>
      <protection/>
    </xf>
    <xf numFmtId="0" fontId="3" fillId="32" borderId="47" xfId="59" applyNumberFormat="1" applyFont="1" applyFill="1" applyBorder="1" applyAlignment="1">
      <alignment horizontal="center" vertical="center"/>
      <protection/>
    </xf>
    <xf numFmtId="0" fontId="3" fillId="32" borderId="48" xfId="59" applyNumberFormat="1" applyFont="1" applyFill="1" applyBorder="1" applyAlignment="1">
      <alignment horizontal="center" vertical="center"/>
      <protection/>
    </xf>
    <xf numFmtId="0" fontId="3" fillId="32" borderId="35" xfId="59" applyNumberFormat="1" applyFont="1" applyFill="1" applyBorder="1" applyAlignment="1">
      <alignment horizontal="center" vertical="center"/>
      <protection/>
    </xf>
    <xf numFmtId="0" fontId="3" fillId="32" borderId="12" xfId="59" applyNumberFormat="1" applyFont="1" applyFill="1" applyBorder="1" applyAlignment="1">
      <alignment horizontal="center" vertical="center" wrapText="1"/>
      <protection/>
    </xf>
    <xf numFmtId="0" fontId="3" fillId="36" borderId="14" xfId="56" applyFont="1" applyFill="1" applyBorder="1" applyAlignment="1">
      <alignment horizontal="center" vertical="center" wrapText="1"/>
      <protection/>
    </xf>
    <xf numFmtId="0" fontId="3" fillId="36" borderId="17" xfId="56" applyFont="1" applyFill="1" applyBorder="1" applyAlignment="1">
      <alignment horizontal="center" vertical="center" wrapText="1"/>
      <protection/>
    </xf>
    <xf numFmtId="0" fontId="3" fillId="36" borderId="15" xfId="56" applyFont="1" applyFill="1" applyBorder="1" applyAlignment="1">
      <alignment horizontal="center" vertical="center" wrapText="1"/>
      <protection/>
    </xf>
    <xf numFmtId="0" fontId="3" fillId="36" borderId="12" xfId="56" applyFont="1" applyFill="1" applyBorder="1" applyAlignment="1">
      <alignment horizontal="center" vertical="center" wrapText="1"/>
      <protection/>
    </xf>
    <xf numFmtId="0" fontId="3" fillId="0" borderId="0" xfId="56" applyFont="1" applyAlignment="1">
      <alignment horizontal="left" vertical="center"/>
      <protection/>
    </xf>
    <xf numFmtId="0" fontId="3" fillId="36" borderId="16" xfId="56" applyFont="1" applyFill="1" applyBorder="1" applyAlignment="1">
      <alignment horizontal="center" vertical="center" wrapText="1"/>
      <protection/>
    </xf>
    <xf numFmtId="0" fontId="4" fillId="0" borderId="0" xfId="56" applyFont="1" applyAlignment="1">
      <alignment horizontal="center" vertical="center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АНДАГАЧ тел3-33-96" xfId="51"/>
    <cellStyle name="КАНДАГАЧ тел3-33-96 2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_вне ТС" xfId="58"/>
    <cellStyle name="Обычный_Лист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Финансовый 3" xfId="70"/>
    <cellStyle name="Финансовый 4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H94"/>
  <sheetViews>
    <sheetView showGridLines="0" zoomScale="86" zoomScaleNormal="86" zoomScalePageLayoutView="0" workbookViewId="0" topLeftCell="A1">
      <pane ySplit="5" topLeftCell="A45" activePane="bottomLeft" state="frozen"/>
      <selection pane="topLeft" activeCell="A1" sqref="A1"/>
      <selection pane="bottomLeft" activeCell="F68" sqref="F68"/>
    </sheetView>
  </sheetViews>
  <sheetFormatPr defaultColWidth="9.140625" defaultRowHeight="12.75"/>
  <cols>
    <col min="1" max="1" width="6.00390625" style="160" customWidth="1"/>
    <col min="2" max="2" width="39.57421875" style="3" customWidth="1"/>
    <col min="3" max="3" width="10.7109375" style="161" customWidth="1"/>
    <col min="4" max="4" width="13.57421875" style="161" customWidth="1"/>
    <col min="5" max="5" width="13.421875" style="3" customWidth="1"/>
    <col min="6" max="6" width="11.8515625" style="203" customWidth="1"/>
    <col min="7" max="7" width="9.140625" style="3" customWidth="1"/>
    <col min="8" max="8" width="31.28125" style="3" customWidth="1"/>
    <col min="9" max="9" width="9.140625" style="3" customWidth="1"/>
    <col min="10" max="10" width="13.140625" style="3" customWidth="1"/>
    <col min="11" max="16384" width="9.140625" style="3" customWidth="1"/>
  </cols>
  <sheetData>
    <row r="1" spans="1:8" ht="21.75" customHeight="1">
      <c r="A1" s="300" t="s">
        <v>306</v>
      </c>
      <c r="B1" s="300"/>
      <c r="C1" s="300"/>
      <c r="D1" s="300"/>
      <c r="E1" s="300"/>
      <c r="F1" s="300"/>
      <c r="G1" s="300"/>
      <c r="H1" s="300"/>
    </row>
    <row r="2" spans="1:8" ht="33.75" customHeight="1">
      <c r="A2" s="300" t="s">
        <v>304</v>
      </c>
      <c r="B2" s="300"/>
      <c r="C2" s="300"/>
      <c r="D2" s="300"/>
      <c r="E2" s="300"/>
      <c r="F2" s="300"/>
      <c r="G2" s="300"/>
      <c r="H2" s="300"/>
    </row>
    <row r="3" spans="1:8" ht="17.25" customHeight="1">
      <c r="A3" s="300" t="s">
        <v>305</v>
      </c>
      <c r="B3" s="300"/>
      <c r="C3" s="300"/>
      <c r="D3" s="300"/>
      <c r="E3" s="300"/>
      <c r="F3" s="300"/>
      <c r="G3" s="300"/>
      <c r="H3" s="300"/>
    </row>
    <row r="4" spans="1:4" ht="24.75" customHeight="1" thickBot="1">
      <c r="A4" s="302" t="s">
        <v>309</v>
      </c>
      <c r="B4" s="302"/>
      <c r="C4" s="173"/>
      <c r="D4" s="173"/>
    </row>
    <row r="5" spans="1:8" ht="55.5" customHeight="1">
      <c r="A5" s="288" t="s">
        <v>21</v>
      </c>
      <c r="B5" s="289" t="s">
        <v>277</v>
      </c>
      <c r="C5" s="290" t="s">
        <v>144</v>
      </c>
      <c r="D5" s="291" t="s">
        <v>272</v>
      </c>
      <c r="E5" s="292" t="s">
        <v>276</v>
      </c>
      <c r="F5" s="293" t="s">
        <v>275</v>
      </c>
      <c r="G5" s="294" t="s">
        <v>154</v>
      </c>
      <c r="H5" s="295" t="s">
        <v>294</v>
      </c>
    </row>
    <row r="6" spans="1:8" s="175" customFormat="1" ht="29.25" customHeight="1">
      <c r="A6" s="185" t="s">
        <v>16</v>
      </c>
      <c r="B6" s="179" t="s">
        <v>15</v>
      </c>
      <c r="C6" s="180" t="s">
        <v>20</v>
      </c>
      <c r="D6" s="204">
        <f>D8+D15+D20+D21+D24</f>
        <v>370484.30000000005</v>
      </c>
      <c r="E6" s="204">
        <f>E8+E15+E20+E21+E24</f>
        <v>364943.7</v>
      </c>
      <c r="F6" s="204">
        <f>F8+F15+F20+F21+F24</f>
        <v>-5540.600000000014</v>
      </c>
      <c r="G6" s="204">
        <f>F6/D6*100</f>
        <v>-1.4955019686394304</v>
      </c>
      <c r="H6" s="271"/>
    </row>
    <row r="7" spans="1:8" s="175" customFormat="1" ht="12.75">
      <c r="A7" s="177"/>
      <c r="B7" s="178" t="s">
        <v>38</v>
      </c>
      <c r="C7" s="174"/>
      <c r="D7" s="186"/>
      <c r="E7" s="204"/>
      <c r="F7" s="186"/>
      <c r="G7" s="204"/>
      <c r="H7" s="271"/>
    </row>
    <row r="8" spans="1:8" s="187" customFormat="1" ht="15.75" customHeight="1">
      <c r="A8" s="296" t="s">
        <v>39</v>
      </c>
      <c r="B8" s="179" t="s">
        <v>40</v>
      </c>
      <c r="C8" s="180" t="s">
        <v>20</v>
      </c>
      <c r="D8" s="204">
        <f>D10+D11+D12+D13+D14</f>
        <v>74174.2</v>
      </c>
      <c r="E8" s="204">
        <f>E10+E11+E12+E13+E14</f>
        <v>75574.65000000001</v>
      </c>
      <c r="F8" s="204">
        <f>F10+F11+F12+F13+F14</f>
        <v>1400.4500000000016</v>
      </c>
      <c r="G8" s="204">
        <f aca="true" t="shared" si="0" ref="G8:G71">F8/D8*100</f>
        <v>1.888055415494878</v>
      </c>
      <c r="H8" s="271"/>
    </row>
    <row r="9" spans="1:8" s="175" customFormat="1" ht="12.75">
      <c r="A9" s="297"/>
      <c r="B9" s="181" t="s">
        <v>38</v>
      </c>
      <c r="C9" s="174"/>
      <c r="D9" s="186"/>
      <c r="E9" s="204"/>
      <c r="F9" s="186"/>
      <c r="G9" s="204"/>
      <c r="H9" s="272"/>
    </row>
    <row r="10" spans="1:8" s="175" customFormat="1" ht="15.75" customHeight="1">
      <c r="A10" s="297" t="s">
        <v>22</v>
      </c>
      <c r="B10" s="181" t="s">
        <v>223</v>
      </c>
      <c r="C10" s="174" t="s">
        <v>20</v>
      </c>
      <c r="D10" s="186">
        <v>63428.8</v>
      </c>
      <c r="E10" s="186">
        <f>'СВОД 2019'!G8</f>
        <v>63826.200000000004</v>
      </c>
      <c r="F10" s="186">
        <f>E10-D10</f>
        <v>397.40000000000146</v>
      </c>
      <c r="G10" s="186">
        <f t="shared" si="0"/>
        <v>0.6265292737683851</v>
      </c>
      <c r="H10" s="273" t="s">
        <v>297</v>
      </c>
    </row>
    <row r="11" spans="1:8" s="175" customFormat="1" ht="15.75" customHeight="1">
      <c r="A11" s="297" t="s">
        <v>17</v>
      </c>
      <c r="B11" s="181" t="s">
        <v>222</v>
      </c>
      <c r="C11" s="174"/>
      <c r="D11" s="186">
        <v>30.9</v>
      </c>
      <c r="E11" s="186">
        <f>'СВОД 2019'!G9</f>
        <v>33.75</v>
      </c>
      <c r="F11" s="186">
        <f>E11-D11</f>
        <v>2.8500000000000014</v>
      </c>
      <c r="G11" s="186">
        <f t="shared" si="0"/>
        <v>9.223300970873792</v>
      </c>
      <c r="H11" s="273" t="s">
        <v>297</v>
      </c>
    </row>
    <row r="12" spans="1:8" s="175" customFormat="1" ht="15.75" customHeight="1">
      <c r="A12" s="297" t="s">
        <v>46</v>
      </c>
      <c r="B12" s="181" t="s">
        <v>58</v>
      </c>
      <c r="C12" s="174" t="s">
        <v>20</v>
      </c>
      <c r="D12" s="186">
        <v>7593.6</v>
      </c>
      <c r="E12" s="186">
        <f>'СВОД 2019'!G10</f>
        <v>7502.325000000001</v>
      </c>
      <c r="F12" s="186">
        <f>E12-D12</f>
        <v>-91.27499999999964</v>
      </c>
      <c r="G12" s="186">
        <f t="shared" si="0"/>
        <v>-1.2019990518331178</v>
      </c>
      <c r="H12" s="273" t="s">
        <v>297</v>
      </c>
    </row>
    <row r="13" spans="1:8" s="175" customFormat="1" ht="15.75" customHeight="1">
      <c r="A13" s="297" t="s">
        <v>47</v>
      </c>
      <c r="B13" s="181" t="s">
        <v>221</v>
      </c>
      <c r="C13" s="174" t="s">
        <v>20</v>
      </c>
      <c r="D13" s="186">
        <v>1702.9</v>
      </c>
      <c r="E13" s="186">
        <f>'СВОД 2019'!G11</f>
        <v>1712.3249999999998</v>
      </c>
      <c r="F13" s="186">
        <f>E13-D13</f>
        <v>9.424999999999727</v>
      </c>
      <c r="G13" s="186">
        <f t="shared" si="0"/>
        <v>0.5534676140700997</v>
      </c>
      <c r="H13" s="273" t="s">
        <v>297</v>
      </c>
    </row>
    <row r="14" spans="1:8" s="175" customFormat="1" ht="38.25" customHeight="1">
      <c r="A14" s="297" t="s">
        <v>225</v>
      </c>
      <c r="B14" s="181" t="s">
        <v>224</v>
      </c>
      <c r="C14" s="174" t="s">
        <v>20</v>
      </c>
      <c r="D14" s="186">
        <v>1418</v>
      </c>
      <c r="E14" s="186">
        <f>'СВОД 2019'!G12</f>
        <v>2500.05</v>
      </c>
      <c r="F14" s="186">
        <f>E14-D14</f>
        <v>1082.0500000000002</v>
      </c>
      <c r="G14" s="186">
        <f t="shared" si="0"/>
        <v>76.30818053596616</v>
      </c>
      <c r="H14" s="274" t="s">
        <v>298</v>
      </c>
    </row>
    <row r="15" spans="1:8" s="187" customFormat="1" ht="15.75" customHeight="1">
      <c r="A15" s="296" t="s">
        <v>41</v>
      </c>
      <c r="B15" s="179" t="s">
        <v>42</v>
      </c>
      <c r="C15" s="180" t="s">
        <v>20</v>
      </c>
      <c r="D15" s="204">
        <f>D17+D18+D19</f>
        <v>77788.70000000001</v>
      </c>
      <c r="E15" s="204">
        <f>E17+E18+E19</f>
        <v>74346.75</v>
      </c>
      <c r="F15" s="204">
        <f>F17+F18+F19</f>
        <v>-3441.950000000004</v>
      </c>
      <c r="G15" s="204">
        <f t="shared" si="0"/>
        <v>-4.424742925386339</v>
      </c>
      <c r="H15" s="274"/>
    </row>
    <row r="16" spans="1:8" s="175" customFormat="1" ht="15.75" customHeight="1">
      <c r="A16" s="297"/>
      <c r="B16" s="178" t="s">
        <v>38</v>
      </c>
      <c r="C16" s="174"/>
      <c r="D16" s="186"/>
      <c r="E16" s="204"/>
      <c r="F16" s="186"/>
      <c r="G16" s="204"/>
      <c r="H16" s="274"/>
    </row>
    <row r="17" spans="1:8" s="175" customFormat="1" ht="15.75" customHeight="1">
      <c r="A17" s="297" t="s">
        <v>23</v>
      </c>
      <c r="B17" s="181" t="s">
        <v>228</v>
      </c>
      <c r="C17" s="174" t="s">
        <v>20</v>
      </c>
      <c r="D17" s="186">
        <f>70684.8</f>
        <v>70684.8</v>
      </c>
      <c r="E17" s="186">
        <f>'СВОД 2019'!G15</f>
        <v>67523.625</v>
      </c>
      <c r="F17" s="186">
        <f>E17-D17</f>
        <v>-3161.175000000003</v>
      </c>
      <c r="G17" s="186">
        <f t="shared" si="0"/>
        <v>-4.472213262257236</v>
      </c>
      <c r="H17" s="273" t="s">
        <v>297</v>
      </c>
    </row>
    <row r="18" spans="1:8" s="175" customFormat="1" ht="15.75" customHeight="1">
      <c r="A18" s="297" t="s">
        <v>24</v>
      </c>
      <c r="B18" s="181" t="s">
        <v>227</v>
      </c>
      <c r="C18" s="174" t="s">
        <v>20</v>
      </c>
      <c r="D18" s="186">
        <v>6043.6</v>
      </c>
      <c r="E18" s="186">
        <f>'СВОД 2019'!G16</f>
        <v>5805.299999999999</v>
      </c>
      <c r="F18" s="186">
        <f>E18-D18</f>
        <v>-238.3000000000011</v>
      </c>
      <c r="G18" s="186">
        <f t="shared" si="0"/>
        <v>-3.9430140975577648</v>
      </c>
      <c r="H18" s="273" t="s">
        <v>297</v>
      </c>
    </row>
    <row r="19" spans="1:8" s="175" customFormat="1" ht="15.75" customHeight="1">
      <c r="A19" s="297" t="s">
        <v>226</v>
      </c>
      <c r="B19" s="181" t="s">
        <v>229</v>
      </c>
      <c r="C19" s="174" t="s">
        <v>20</v>
      </c>
      <c r="D19" s="186">
        <v>1060.3</v>
      </c>
      <c r="E19" s="186">
        <f>'СВОД 2019'!G17</f>
        <v>1017.8249999999999</v>
      </c>
      <c r="F19" s="186">
        <f>E19-D19</f>
        <v>-42.47500000000002</v>
      </c>
      <c r="G19" s="186">
        <f t="shared" si="0"/>
        <v>-4.005941714609075</v>
      </c>
      <c r="H19" s="273" t="s">
        <v>297</v>
      </c>
    </row>
    <row r="20" spans="1:8" s="175" customFormat="1" ht="15.75" customHeight="1">
      <c r="A20" s="296" t="s">
        <v>43</v>
      </c>
      <c r="B20" s="179" t="s">
        <v>45</v>
      </c>
      <c r="C20" s="180" t="s">
        <v>20</v>
      </c>
      <c r="D20" s="204">
        <v>121437.2</v>
      </c>
      <c r="E20" s="204">
        <f>'СВОД 2019'!G18</f>
        <v>118209.75</v>
      </c>
      <c r="F20" s="204">
        <f>E20-D20</f>
        <v>-3227.449999999997</v>
      </c>
      <c r="G20" s="204">
        <f t="shared" si="0"/>
        <v>-2.6577111461726695</v>
      </c>
      <c r="H20" s="273" t="s">
        <v>297</v>
      </c>
    </row>
    <row r="21" spans="1:8" s="175" customFormat="1" ht="12" customHeight="1">
      <c r="A21" s="296" t="s">
        <v>44</v>
      </c>
      <c r="B21" s="179" t="s">
        <v>233</v>
      </c>
      <c r="C21" s="180" t="s">
        <v>20</v>
      </c>
      <c r="D21" s="204">
        <f>D23</f>
        <v>78674.1</v>
      </c>
      <c r="E21" s="204">
        <f>E23</f>
        <v>78737.17499999999</v>
      </c>
      <c r="F21" s="204">
        <f>F23</f>
        <v>63.07499999998254</v>
      </c>
      <c r="G21" s="204">
        <f t="shared" si="0"/>
        <v>0.08017250912305642</v>
      </c>
      <c r="H21" s="274"/>
    </row>
    <row r="22" spans="1:8" s="175" customFormat="1" ht="12.75">
      <c r="A22" s="297"/>
      <c r="B22" s="178" t="s">
        <v>38</v>
      </c>
      <c r="C22" s="174"/>
      <c r="D22" s="186"/>
      <c r="E22" s="204"/>
      <c r="F22" s="186"/>
      <c r="G22" s="204"/>
      <c r="H22" s="274"/>
    </row>
    <row r="23" spans="1:8" s="175" customFormat="1" ht="27.75" customHeight="1">
      <c r="A23" s="297" t="s">
        <v>25</v>
      </c>
      <c r="B23" s="181" t="s">
        <v>266</v>
      </c>
      <c r="C23" s="174" t="s">
        <v>20</v>
      </c>
      <c r="D23" s="186">
        <v>78674.1</v>
      </c>
      <c r="E23" s="186">
        <f>'СВОД 2019'!G21</f>
        <v>78737.17499999999</v>
      </c>
      <c r="F23" s="186">
        <f>E23-D23</f>
        <v>63.07499999998254</v>
      </c>
      <c r="G23" s="186">
        <f t="shared" si="0"/>
        <v>0.08017250912305642</v>
      </c>
      <c r="H23" s="273" t="s">
        <v>297</v>
      </c>
    </row>
    <row r="24" spans="1:8" s="175" customFormat="1" ht="16.5" customHeight="1">
      <c r="A24" s="296" t="s">
        <v>0</v>
      </c>
      <c r="B24" s="179" t="s">
        <v>1</v>
      </c>
      <c r="C24" s="180" t="s">
        <v>20</v>
      </c>
      <c r="D24" s="204">
        <f>D26+D27+D28+D29+D30+D31+D32+D33</f>
        <v>18410.1</v>
      </c>
      <c r="E24" s="204">
        <f>E26+E27+E28+E29+E30+E31+E32+E33</f>
        <v>18075.375</v>
      </c>
      <c r="F24" s="204">
        <f>F26+F27+F28+F29+F30+F31+F32+F33</f>
        <v>-334.7249999999974</v>
      </c>
      <c r="G24" s="204">
        <f t="shared" si="0"/>
        <v>-1.8181595971776223</v>
      </c>
      <c r="H24" s="275"/>
    </row>
    <row r="25" spans="1:8" s="175" customFormat="1" ht="12.75">
      <c r="A25" s="297"/>
      <c r="B25" s="178" t="s">
        <v>38</v>
      </c>
      <c r="C25" s="174"/>
      <c r="D25" s="186"/>
      <c r="E25" s="204"/>
      <c r="F25" s="186"/>
      <c r="G25" s="204"/>
      <c r="H25" s="274"/>
    </row>
    <row r="26" spans="1:8" s="175" customFormat="1" ht="15.75" customHeight="1">
      <c r="A26" s="297" t="s">
        <v>49</v>
      </c>
      <c r="B26" s="181" t="s">
        <v>230</v>
      </c>
      <c r="C26" s="174" t="s">
        <v>20</v>
      </c>
      <c r="D26" s="186">
        <v>303</v>
      </c>
      <c r="E26" s="186">
        <f>'СВОД 2019'!G24</f>
        <v>306.9</v>
      </c>
      <c r="F26" s="186">
        <f>E26-D26</f>
        <v>3.8999999999999773</v>
      </c>
      <c r="G26" s="186">
        <f t="shared" si="0"/>
        <v>1.2871287128712796</v>
      </c>
      <c r="H26" s="273" t="s">
        <v>297</v>
      </c>
    </row>
    <row r="27" spans="1:8" s="175" customFormat="1" ht="14.25" customHeight="1">
      <c r="A27" s="297" t="s">
        <v>50</v>
      </c>
      <c r="B27" s="181" t="s">
        <v>231</v>
      </c>
      <c r="C27" s="174" t="s">
        <v>20</v>
      </c>
      <c r="D27" s="186">
        <v>9885.9</v>
      </c>
      <c r="E27" s="186">
        <f>'СВОД 2019'!G25</f>
        <v>9705.150000000001</v>
      </c>
      <c r="F27" s="186">
        <f aca="true" t="shared" si="1" ref="F27:F33">E27-D27</f>
        <v>-180.74999999999818</v>
      </c>
      <c r="G27" s="186">
        <f t="shared" si="0"/>
        <v>-1.8283616059235699</v>
      </c>
      <c r="H27" s="273" t="s">
        <v>297</v>
      </c>
    </row>
    <row r="28" spans="1:8" s="175" customFormat="1" ht="16.5" customHeight="1">
      <c r="A28" s="297" t="s">
        <v>51</v>
      </c>
      <c r="B28" s="181" t="s">
        <v>273</v>
      </c>
      <c r="C28" s="174" t="s">
        <v>20</v>
      </c>
      <c r="D28" s="186">
        <v>368.9</v>
      </c>
      <c r="E28" s="186">
        <f>'СВОД 2019'!G26</f>
        <v>369.225</v>
      </c>
      <c r="F28" s="186">
        <f t="shared" si="1"/>
        <v>0.3250000000000455</v>
      </c>
      <c r="G28" s="186">
        <f t="shared" si="0"/>
        <v>0.08809975603145717</v>
      </c>
      <c r="H28" s="273" t="s">
        <v>297</v>
      </c>
    </row>
    <row r="29" spans="1:8" s="175" customFormat="1" ht="15" customHeight="1">
      <c r="A29" s="297" t="s">
        <v>52</v>
      </c>
      <c r="B29" s="181" t="s">
        <v>232</v>
      </c>
      <c r="C29" s="174" t="s">
        <v>20</v>
      </c>
      <c r="D29" s="186">
        <v>4004.4</v>
      </c>
      <c r="E29" s="186">
        <f>'СВОД 2019'!G27</f>
        <v>3858.6000000000004</v>
      </c>
      <c r="F29" s="186">
        <f t="shared" si="1"/>
        <v>-145.79999999999973</v>
      </c>
      <c r="G29" s="186">
        <f t="shared" si="0"/>
        <v>-3.640994905603829</v>
      </c>
      <c r="H29" s="273" t="s">
        <v>297</v>
      </c>
    </row>
    <row r="30" spans="1:8" s="175" customFormat="1" ht="14.25" customHeight="1">
      <c r="A30" s="297" t="s">
        <v>53</v>
      </c>
      <c r="B30" s="181" t="s">
        <v>234</v>
      </c>
      <c r="C30" s="174" t="s">
        <v>20</v>
      </c>
      <c r="D30" s="186">
        <v>381.7</v>
      </c>
      <c r="E30" s="186">
        <f>'СВОД 2019'!G28</f>
        <v>367.42499999999995</v>
      </c>
      <c r="F30" s="186">
        <f t="shared" si="1"/>
        <v>-14.275000000000034</v>
      </c>
      <c r="G30" s="186">
        <f t="shared" si="0"/>
        <v>-3.739848048205406</v>
      </c>
      <c r="H30" s="273" t="s">
        <v>297</v>
      </c>
    </row>
    <row r="31" spans="1:8" s="175" customFormat="1" ht="14.25" customHeight="1">
      <c r="A31" s="297" t="s">
        <v>54</v>
      </c>
      <c r="B31" s="181" t="s">
        <v>235</v>
      </c>
      <c r="C31" s="174" t="s">
        <v>20</v>
      </c>
      <c r="D31" s="186">
        <v>131.6</v>
      </c>
      <c r="E31" s="186">
        <f>'СВОД 2019'!G29</f>
        <v>130.35000000000002</v>
      </c>
      <c r="F31" s="186">
        <f t="shared" si="1"/>
        <v>-1.2499999999999716</v>
      </c>
      <c r="G31" s="186">
        <f t="shared" si="0"/>
        <v>-0.9498480243160878</v>
      </c>
      <c r="H31" s="273" t="s">
        <v>297</v>
      </c>
    </row>
    <row r="32" spans="1:8" s="175" customFormat="1" ht="14.25" customHeight="1">
      <c r="A32" s="297" t="s">
        <v>55</v>
      </c>
      <c r="B32" s="181" t="s">
        <v>236</v>
      </c>
      <c r="C32" s="174" t="s">
        <v>20</v>
      </c>
      <c r="D32" s="186">
        <v>22.5</v>
      </c>
      <c r="E32" s="186">
        <f>'СВОД 2019'!G30</f>
        <v>22.5</v>
      </c>
      <c r="F32" s="186">
        <f t="shared" si="1"/>
        <v>0</v>
      </c>
      <c r="G32" s="186">
        <f t="shared" si="0"/>
        <v>0</v>
      </c>
      <c r="H32" s="273" t="s">
        <v>297</v>
      </c>
    </row>
    <row r="33" spans="1:8" s="175" customFormat="1" ht="13.5" customHeight="1">
      <c r="A33" s="297" t="s">
        <v>56</v>
      </c>
      <c r="B33" s="181" t="s">
        <v>237</v>
      </c>
      <c r="C33" s="174" t="s">
        <v>20</v>
      </c>
      <c r="D33" s="186">
        <v>3312.1</v>
      </c>
      <c r="E33" s="186">
        <f>'СВОД 2019'!G31</f>
        <v>3315.2250000000004</v>
      </c>
      <c r="F33" s="186">
        <f t="shared" si="1"/>
        <v>3.1250000000004547</v>
      </c>
      <c r="G33" s="186">
        <f t="shared" si="0"/>
        <v>0.09435101597175372</v>
      </c>
      <c r="H33" s="273" t="s">
        <v>297</v>
      </c>
    </row>
    <row r="34" spans="1:8" s="175" customFormat="1" ht="18" customHeight="1">
      <c r="A34" s="185" t="s">
        <v>3</v>
      </c>
      <c r="B34" s="179" t="s">
        <v>4</v>
      </c>
      <c r="C34" s="180" t="s">
        <v>20</v>
      </c>
      <c r="D34" s="204">
        <f>D35+D63</f>
        <v>175786.2</v>
      </c>
      <c r="E34" s="204">
        <f>E35+E63</f>
        <v>169064.475</v>
      </c>
      <c r="F34" s="204">
        <f>F35+F63</f>
        <v>-6721.724999999992</v>
      </c>
      <c r="G34" s="204">
        <f t="shared" si="0"/>
        <v>-3.8238069882618726</v>
      </c>
      <c r="H34" s="274"/>
    </row>
    <row r="35" spans="1:8" s="175" customFormat="1" ht="12.75" customHeight="1">
      <c r="A35" s="185">
        <v>6</v>
      </c>
      <c r="B35" s="179" t="s">
        <v>5</v>
      </c>
      <c r="C35" s="180" t="s">
        <v>20</v>
      </c>
      <c r="D35" s="204">
        <f>D37+D38+D39+D40+D41+D42+D50+D51+D52+D53+D54</f>
        <v>80850.7</v>
      </c>
      <c r="E35" s="204">
        <f>E37+E38+E39+E40+E41+E42+E50+E51+E52+E53+E54</f>
        <v>80053.65</v>
      </c>
      <c r="F35" s="204">
        <f>F37+F38+F39+F40+F41+F42+F50+F51+F52+F53+F54</f>
        <v>-797.0500000000038</v>
      </c>
      <c r="G35" s="204">
        <f t="shared" si="0"/>
        <v>-0.9858294362324678</v>
      </c>
      <c r="H35" s="276"/>
    </row>
    <row r="36" spans="1:8" s="175" customFormat="1" ht="12.75">
      <c r="A36" s="177"/>
      <c r="B36" s="181" t="s">
        <v>38</v>
      </c>
      <c r="C36" s="174"/>
      <c r="D36" s="186"/>
      <c r="E36" s="204"/>
      <c r="F36" s="186"/>
      <c r="G36" s="204"/>
      <c r="H36" s="276"/>
    </row>
    <row r="37" spans="1:8" s="187" customFormat="1" ht="25.5">
      <c r="A37" s="296" t="s">
        <v>26</v>
      </c>
      <c r="B37" s="179" t="s">
        <v>238</v>
      </c>
      <c r="C37" s="180" t="s">
        <v>20</v>
      </c>
      <c r="D37" s="204">
        <v>20861.1</v>
      </c>
      <c r="E37" s="204">
        <f>'СВОД 2019'!G35</f>
        <v>22898.1</v>
      </c>
      <c r="F37" s="204">
        <f>E37-D37</f>
        <v>2037</v>
      </c>
      <c r="G37" s="204">
        <f t="shared" si="0"/>
        <v>9.76458576009894</v>
      </c>
      <c r="H37" s="274" t="s">
        <v>299</v>
      </c>
    </row>
    <row r="38" spans="1:8" s="187" customFormat="1" ht="18" customHeight="1">
      <c r="A38" s="296" t="s">
        <v>27</v>
      </c>
      <c r="B38" s="179" t="s">
        <v>227</v>
      </c>
      <c r="C38" s="180" t="s">
        <v>20</v>
      </c>
      <c r="D38" s="204">
        <v>1783.6</v>
      </c>
      <c r="E38" s="204">
        <f>'СВОД 2019'!G36</f>
        <v>2072.625</v>
      </c>
      <c r="F38" s="204">
        <f>E38-D38</f>
        <v>289.0250000000001</v>
      </c>
      <c r="G38" s="204">
        <f t="shared" si="0"/>
        <v>16.20458623009644</v>
      </c>
      <c r="H38" s="274" t="s">
        <v>299</v>
      </c>
    </row>
    <row r="39" spans="1:8" s="187" customFormat="1" ht="15.75" customHeight="1">
      <c r="A39" s="296" t="s">
        <v>28</v>
      </c>
      <c r="B39" s="179" t="s">
        <v>229</v>
      </c>
      <c r="C39" s="180" t="s">
        <v>20</v>
      </c>
      <c r="D39" s="204">
        <f>312.9</f>
        <v>312.9</v>
      </c>
      <c r="E39" s="204">
        <f>'СВОД 2019'!G37</f>
        <v>307.875</v>
      </c>
      <c r="F39" s="204">
        <f>E39-D39</f>
        <v>-5.024999999999977</v>
      </c>
      <c r="G39" s="204">
        <f t="shared" si="0"/>
        <v>-1.6059443911792834</v>
      </c>
      <c r="H39" s="274" t="s">
        <v>299</v>
      </c>
    </row>
    <row r="40" spans="1:8" s="187" customFormat="1" ht="27" customHeight="1">
      <c r="A40" s="296" t="s">
        <v>29</v>
      </c>
      <c r="B40" s="179" t="s">
        <v>239</v>
      </c>
      <c r="C40" s="180" t="s">
        <v>20</v>
      </c>
      <c r="D40" s="204">
        <f>719.9</f>
        <v>719.9</v>
      </c>
      <c r="E40" s="204">
        <f>'СВОД 2019'!G38</f>
        <v>971.7750000000001</v>
      </c>
      <c r="F40" s="204">
        <f>E40-D40</f>
        <v>251.8750000000001</v>
      </c>
      <c r="G40" s="204">
        <f t="shared" si="0"/>
        <v>34.98749826364775</v>
      </c>
      <c r="H40" s="274" t="s">
        <v>299</v>
      </c>
    </row>
    <row r="41" spans="1:8" s="187" customFormat="1" ht="15" customHeight="1">
      <c r="A41" s="296" t="s">
        <v>30</v>
      </c>
      <c r="B41" s="179" t="s">
        <v>241</v>
      </c>
      <c r="C41" s="180" t="s">
        <v>20</v>
      </c>
      <c r="D41" s="204">
        <v>99.8</v>
      </c>
      <c r="E41" s="204">
        <f>'СВОД 2019'!G39</f>
        <v>95.92500000000001</v>
      </c>
      <c r="F41" s="204">
        <f>E41-D41</f>
        <v>-3.874999999999986</v>
      </c>
      <c r="G41" s="204">
        <f t="shared" si="0"/>
        <v>-3.88276553106211</v>
      </c>
      <c r="H41" s="274" t="s">
        <v>299</v>
      </c>
    </row>
    <row r="42" spans="1:8" s="187" customFormat="1" ht="12.75" customHeight="1">
      <c r="A42" s="296" t="s">
        <v>31</v>
      </c>
      <c r="B42" s="179" t="s">
        <v>240</v>
      </c>
      <c r="C42" s="180" t="s">
        <v>20</v>
      </c>
      <c r="D42" s="204">
        <f>D44+D45+D46+D47+D48+D49</f>
        <v>5417.4</v>
      </c>
      <c r="E42" s="204">
        <f>E44+E45+E46+E47+E48+E49</f>
        <v>5623.125</v>
      </c>
      <c r="F42" s="204">
        <f>F44+F45+F46+F47+F48+F49</f>
        <v>205.72500000000008</v>
      </c>
      <c r="G42" s="204">
        <f t="shared" si="0"/>
        <v>3.797485878834867</v>
      </c>
      <c r="H42" s="274"/>
    </row>
    <row r="43" spans="1:8" s="175" customFormat="1" ht="12.75">
      <c r="A43" s="297"/>
      <c r="B43" s="178" t="s">
        <v>38</v>
      </c>
      <c r="C43" s="174"/>
      <c r="D43" s="186"/>
      <c r="E43" s="204"/>
      <c r="F43" s="186"/>
      <c r="G43" s="204"/>
      <c r="H43" s="274"/>
    </row>
    <row r="44" spans="1:8" s="175" customFormat="1" ht="25.5">
      <c r="A44" s="297" t="s">
        <v>242</v>
      </c>
      <c r="B44" s="178" t="s">
        <v>260</v>
      </c>
      <c r="C44" s="174" t="s">
        <v>20</v>
      </c>
      <c r="D44" s="186">
        <v>4103.1</v>
      </c>
      <c r="E44" s="186">
        <f>'СВОД 2019'!G42</f>
        <v>4071.2250000000004</v>
      </c>
      <c r="F44" s="186">
        <f>E44-D44</f>
        <v>-31.875</v>
      </c>
      <c r="G44" s="186">
        <f t="shared" si="0"/>
        <v>-0.7768516487533815</v>
      </c>
      <c r="H44" s="274" t="s">
        <v>300</v>
      </c>
    </row>
    <row r="45" spans="1:8" s="175" customFormat="1" ht="13.5" customHeight="1">
      <c r="A45" s="297" t="s">
        <v>243</v>
      </c>
      <c r="B45" s="178" t="s">
        <v>261</v>
      </c>
      <c r="C45" s="174" t="s">
        <v>20</v>
      </c>
      <c r="D45" s="186">
        <v>442.4</v>
      </c>
      <c r="E45" s="186">
        <f>'СВОД 2019'!G43</f>
        <v>611.325</v>
      </c>
      <c r="F45" s="186">
        <f aca="true" t="shared" si="2" ref="F45:F53">E45-D45</f>
        <v>168.92500000000007</v>
      </c>
      <c r="G45" s="186">
        <f t="shared" si="0"/>
        <v>38.183770343580484</v>
      </c>
      <c r="H45" s="274" t="s">
        <v>300</v>
      </c>
    </row>
    <row r="46" spans="1:8" s="175" customFormat="1" ht="13.5" customHeight="1">
      <c r="A46" s="297" t="s">
        <v>244</v>
      </c>
      <c r="B46" s="178" t="s">
        <v>262</v>
      </c>
      <c r="C46" s="174" t="s">
        <v>20</v>
      </c>
      <c r="D46" s="186">
        <v>77.7</v>
      </c>
      <c r="E46" s="186">
        <f>'СВОД 2019'!G44</f>
        <v>75.30000000000001</v>
      </c>
      <c r="F46" s="186">
        <f t="shared" si="2"/>
        <v>-2.3999999999999915</v>
      </c>
      <c r="G46" s="186">
        <f t="shared" si="0"/>
        <v>-3.0888030888030777</v>
      </c>
      <c r="H46" s="274" t="s">
        <v>300</v>
      </c>
    </row>
    <row r="47" spans="1:8" s="175" customFormat="1" ht="13.5" customHeight="1">
      <c r="A47" s="297" t="s">
        <v>245</v>
      </c>
      <c r="B47" s="178" t="s">
        <v>263</v>
      </c>
      <c r="C47" s="174" t="s">
        <v>20</v>
      </c>
      <c r="D47" s="186">
        <v>283.5</v>
      </c>
      <c r="E47" s="186">
        <f>'СВОД 2019'!G45</f>
        <v>281.4</v>
      </c>
      <c r="F47" s="186">
        <f t="shared" si="2"/>
        <v>-2.1000000000000227</v>
      </c>
      <c r="G47" s="186">
        <f t="shared" si="0"/>
        <v>-0.7407407407407487</v>
      </c>
      <c r="H47" s="274" t="s">
        <v>300</v>
      </c>
    </row>
    <row r="48" spans="1:8" s="175" customFormat="1" ht="29.25" customHeight="1">
      <c r="A48" s="297" t="s">
        <v>246</v>
      </c>
      <c r="B48" s="178" t="s">
        <v>264</v>
      </c>
      <c r="C48" s="174" t="s">
        <v>20</v>
      </c>
      <c r="D48" s="186">
        <v>200.8</v>
      </c>
      <c r="E48" s="186">
        <f>'СВОД 2019'!G46</f>
        <v>201.97500000000002</v>
      </c>
      <c r="F48" s="186">
        <f t="shared" si="2"/>
        <v>1.1750000000000114</v>
      </c>
      <c r="G48" s="186">
        <f t="shared" si="0"/>
        <v>0.5851593625498064</v>
      </c>
      <c r="H48" s="274" t="s">
        <v>300</v>
      </c>
    </row>
    <row r="49" spans="1:8" s="175" customFormat="1" ht="26.25" customHeight="1">
      <c r="A49" s="297" t="s">
        <v>247</v>
      </c>
      <c r="B49" s="178" t="s">
        <v>265</v>
      </c>
      <c r="C49" s="174" t="s">
        <v>20</v>
      </c>
      <c r="D49" s="186">
        <v>309.9</v>
      </c>
      <c r="E49" s="186">
        <f>'СВОД 2019'!G47</f>
        <v>381.9</v>
      </c>
      <c r="F49" s="186">
        <f t="shared" si="2"/>
        <v>72</v>
      </c>
      <c r="G49" s="186">
        <f t="shared" si="0"/>
        <v>23.233301064859635</v>
      </c>
      <c r="H49" s="274" t="s">
        <v>300</v>
      </c>
    </row>
    <row r="50" spans="1:8" s="187" customFormat="1" ht="14.25" customHeight="1">
      <c r="A50" s="296" t="s">
        <v>32</v>
      </c>
      <c r="B50" s="179" t="s">
        <v>248</v>
      </c>
      <c r="C50" s="180" t="s">
        <v>20</v>
      </c>
      <c r="D50" s="204">
        <v>454</v>
      </c>
      <c r="E50" s="204">
        <f>'СВОД 2019'!G48</f>
        <v>488.54999999999995</v>
      </c>
      <c r="F50" s="204">
        <f t="shared" si="2"/>
        <v>34.549999999999955</v>
      </c>
      <c r="G50" s="204">
        <f t="shared" si="0"/>
        <v>7.6101321585902975</v>
      </c>
      <c r="H50" s="274" t="s">
        <v>300</v>
      </c>
    </row>
    <row r="51" spans="1:8" s="187" customFormat="1" ht="18" customHeight="1">
      <c r="A51" s="296" t="s">
        <v>33</v>
      </c>
      <c r="B51" s="179" t="s">
        <v>230</v>
      </c>
      <c r="C51" s="180" t="s">
        <v>20</v>
      </c>
      <c r="D51" s="204">
        <v>553.9</v>
      </c>
      <c r="E51" s="204">
        <f>'СВОД 2019'!G49</f>
        <v>529.2750000000001</v>
      </c>
      <c r="F51" s="204">
        <f t="shared" si="2"/>
        <v>-24.624999999999886</v>
      </c>
      <c r="G51" s="204">
        <f t="shared" si="0"/>
        <v>-4.4457483300234495</v>
      </c>
      <c r="H51" s="274" t="s">
        <v>300</v>
      </c>
    </row>
    <row r="52" spans="1:8" s="187" customFormat="1" ht="42" customHeight="1">
      <c r="A52" s="296" t="s">
        <v>37</v>
      </c>
      <c r="B52" s="179" t="s">
        <v>250</v>
      </c>
      <c r="C52" s="180" t="s">
        <v>20</v>
      </c>
      <c r="D52" s="204">
        <v>33288</v>
      </c>
      <c r="E52" s="204">
        <f>'СВОД 2019'!G50</f>
        <v>30059.324999999997</v>
      </c>
      <c r="F52" s="204">
        <f t="shared" si="2"/>
        <v>-3228.675000000003</v>
      </c>
      <c r="G52" s="204">
        <f t="shared" si="0"/>
        <v>-9.6992159336698</v>
      </c>
      <c r="H52" s="274" t="s">
        <v>303</v>
      </c>
    </row>
    <row r="53" spans="1:8" s="187" customFormat="1" ht="16.5" customHeight="1">
      <c r="A53" s="296" t="s">
        <v>249</v>
      </c>
      <c r="B53" s="179" t="s">
        <v>58</v>
      </c>
      <c r="C53" s="180" t="s">
        <v>20</v>
      </c>
      <c r="D53" s="204">
        <v>431.3</v>
      </c>
      <c r="E53" s="204">
        <f>'СВОД 2019'!G51</f>
        <v>427.57500000000005</v>
      </c>
      <c r="F53" s="204">
        <f t="shared" si="2"/>
        <v>-3.724999999999966</v>
      </c>
      <c r="G53" s="204">
        <f t="shared" si="0"/>
        <v>-0.8636679805239893</v>
      </c>
      <c r="H53" s="274" t="s">
        <v>300</v>
      </c>
    </row>
    <row r="54" spans="1:8" s="187" customFormat="1" ht="13.5" customHeight="1">
      <c r="A54" s="296" t="s">
        <v>252</v>
      </c>
      <c r="B54" s="179" t="s">
        <v>251</v>
      </c>
      <c r="C54" s="180" t="s">
        <v>20</v>
      </c>
      <c r="D54" s="204">
        <f>D56+D57+D58+D59+D60+D61+D62</f>
        <v>16928.8</v>
      </c>
      <c r="E54" s="204">
        <f>E56+E57+E58+E59+E60+E61+E62</f>
        <v>16579.5</v>
      </c>
      <c r="F54" s="204">
        <f>F56+F57+F58+F59+F60+F61+F62</f>
        <v>-349.30000000000064</v>
      </c>
      <c r="G54" s="204">
        <f t="shared" si="0"/>
        <v>-2.0633476678795937</v>
      </c>
      <c r="H54" s="274"/>
    </row>
    <row r="55" spans="1:8" s="175" customFormat="1" ht="18" customHeight="1">
      <c r="A55" s="297"/>
      <c r="B55" s="178" t="s">
        <v>38</v>
      </c>
      <c r="C55" s="174"/>
      <c r="D55" s="186"/>
      <c r="E55" s="204"/>
      <c r="F55" s="186"/>
      <c r="G55" s="204"/>
      <c r="H55" s="274"/>
    </row>
    <row r="56" spans="1:8" s="175" customFormat="1" ht="15.75" customHeight="1">
      <c r="A56" s="297" t="s">
        <v>253</v>
      </c>
      <c r="B56" s="178" t="s">
        <v>35</v>
      </c>
      <c r="C56" s="174" t="s">
        <v>20</v>
      </c>
      <c r="D56" s="186">
        <v>112.7</v>
      </c>
      <c r="E56" s="186">
        <f>'СВОД 2019'!G54</f>
        <v>108.89999999999999</v>
      </c>
      <c r="F56" s="186">
        <f>E56-D56</f>
        <v>-3.8000000000000114</v>
      </c>
      <c r="G56" s="186">
        <f t="shared" si="0"/>
        <v>-3.371783496007109</v>
      </c>
      <c r="H56" s="274" t="s">
        <v>300</v>
      </c>
    </row>
    <row r="57" spans="1:8" s="175" customFormat="1" ht="15.75" customHeight="1">
      <c r="A57" s="297" t="s">
        <v>254</v>
      </c>
      <c r="B57" s="178" t="s">
        <v>6</v>
      </c>
      <c r="C57" s="174" t="s">
        <v>20</v>
      </c>
      <c r="D57" s="186">
        <v>20</v>
      </c>
      <c r="E57" s="186">
        <f>'СВОД 2019'!G55</f>
        <v>19.575000000000003</v>
      </c>
      <c r="F57" s="186">
        <f aca="true" t="shared" si="3" ref="F57:F62">E57-D57</f>
        <v>-0.42499999999999716</v>
      </c>
      <c r="G57" s="186">
        <f t="shared" si="0"/>
        <v>-2.124999999999986</v>
      </c>
      <c r="H57" s="274" t="s">
        <v>300</v>
      </c>
    </row>
    <row r="58" spans="1:8" s="175" customFormat="1" ht="15.75" customHeight="1">
      <c r="A58" s="297" t="s">
        <v>255</v>
      </c>
      <c r="B58" s="178" t="s">
        <v>34</v>
      </c>
      <c r="C58" s="174" t="s">
        <v>20</v>
      </c>
      <c r="D58" s="186">
        <v>139.3</v>
      </c>
      <c r="E58" s="186">
        <f>'СВОД 2019'!G56</f>
        <v>135.675</v>
      </c>
      <c r="F58" s="186">
        <f t="shared" si="3"/>
        <v>-3.625</v>
      </c>
      <c r="G58" s="186">
        <f t="shared" si="0"/>
        <v>-2.6022972002871496</v>
      </c>
      <c r="H58" s="274" t="s">
        <v>300</v>
      </c>
    </row>
    <row r="59" spans="1:8" s="175" customFormat="1" ht="15.75" customHeight="1">
      <c r="A59" s="297" t="s">
        <v>256</v>
      </c>
      <c r="B59" s="178" t="s">
        <v>13</v>
      </c>
      <c r="C59" s="174" t="s">
        <v>20</v>
      </c>
      <c r="D59" s="186">
        <v>332</v>
      </c>
      <c r="E59" s="186">
        <f>'СВОД 2019'!G57</f>
        <v>347.4</v>
      </c>
      <c r="F59" s="186">
        <f t="shared" si="3"/>
        <v>15.399999999999977</v>
      </c>
      <c r="G59" s="186">
        <f t="shared" si="0"/>
        <v>4.638554216867464</v>
      </c>
      <c r="H59" s="274" t="s">
        <v>300</v>
      </c>
    </row>
    <row r="60" spans="1:8" s="175" customFormat="1" ht="15.75" customHeight="1">
      <c r="A60" s="297" t="s">
        <v>257</v>
      </c>
      <c r="B60" s="178" t="s">
        <v>2</v>
      </c>
      <c r="C60" s="174" t="s">
        <v>20</v>
      </c>
      <c r="D60" s="186">
        <v>11401.4</v>
      </c>
      <c r="E60" s="186">
        <f>'СВОД 2019'!G58</f>
        <v>11069.175</v>
      </c>
      <c r="F60" s="186">
        <f t="shared" si="3"/>
        <v>-332.22500000000036</v>
      </c>
      <c r="G60" s="186">
        <f t="shared" si="0"/>
        <v>-2.913896539021527</v>
      </c>
      <c r="H60" s="274" t="s">
        <v>300</v>
      </c>
    </row>
    <row r="61" spans="1:8" s="175" customFormat="1" ht="15.75" customHeight="1">
      <c r="A61" s="297" t="s">
        <v>258</v>
      </c>
      <c r="B61" s="178" t="s">
        <v>14</v>
      </c>
      <c r="C61" s="174" t="s">
        <v>20</v>
      </c>
      <c r="D61" s="186">
        <v>1525.2</v>
      </c>
      <c r="E61" s="186">
        <f>'СВОД 2019'!G59</f>
        <v>1497.75</v>
      </c>
      <c r="F61" s="186">
        <f t="shared" si="3"/>
        <v>-27.450000000000045</v>
      </c>
      <c r="G61" s="186">
        <f t="shared" si="0"/>
        <v>-1.799763965381592</v>
      </c>
      <c r="H61" s="274" t="s">
        <v>300</v>
      </c>
    </row>
    <row r="62" spans="1:8" s="175" customFormat="1" ht="15.75" customHeight="1">
      <c r="A62" s="297" t="s">
        <v>259</v>
      </c>
      <c r="B62" s="178" t="s">
        <v>36</v>
      </c>
      <c r="C62" s="174" t="s">
        <v>20</v>
      </c>
      <c r="D62" s="186">
        <v>3398.2</v>
      </c>
      <c r="E62" s="186">
        <f>'СВОД 2019'!G60</f>
        <v>3401.0249999999996</v>
      </c>
      <c r="F62" s="186">
        <f t="shared" si="3"/>
        <v>2.824999999999818</v>
      </c>
      <c r="G62" s="186">
        <f t="shared" si="0"/>
        <v>0.08313224648342706</v>
      </c>
      <c r="H62" s="274" t="s">
        <v>300</v>
      </c>
    </row>
    <row r="63" spans="1:8" s="187" customFormat="1" ht="26.25" customHeight="1">
      <c r="A63" s="185">
        <v>7</v>
      </c>
      <c r="B63" s="179" t="s">
        <v>7</v>
      </c>
      <c r="C63" s="180" t="s">
        <v>20</v>
      </c>
      <c r="D63" s="253">
        <v>94935.5</v>
      </c>
      <c r="E63" s="204">
        <f>'СВОД 2019'!G61</f>
        <v>89010.82500000001</v>
      </c>
      <c r="F63" s="204">
        <f>E63-D63</f>
        <v>-5924.674999999988</v>
      </c>
      <c r="G63" s="204">
        <f t="shared" si="0"/>
        <v>-6.240737132052803</v>
      </c>
      <c r="H63" s="274" t="s">
        <v>314</v>
      </c>
    </row>
    <row r="64" spans="1:8" s="175" customFormat="1" ht="16.5" customHeight="1">
      <c r="A64" s="185" t="s">
        <v>8</v>
      </c>
      <c r="B64" s="179" t="s">
        <v>18</v>
      </c>
      <c r="C64" s="180" t="s">
        <v>20</v>
      </c>
      <c r="D64" s="204">
        <f>D6+D34</f>
        <v>546270.5</v>
      </c>
      <c r="E64" s="204">
        <f>E6+E34</f>
        <v>534008.175</v>
      </c>
      <c r="F64" s="204">
        <f>E64-D64</f>
        <v>-12262.324999999953</v>
      </c>
      <c r="G64" s="204">
        <f t="shared" si="0"/>
        <v>-2.244734980197531</v>
      </c>
      <c r="H64" s="274" t="s">
        <v>300</v>
      </c>
    </row>
    <row r="65" spans="1:8" s="175" customFormat="1" ht="16.5" customHeight="1">
      <c r="A65" s="185" t="s">
        <v>9</v>
      </c>
      <c r="B65" s="179" t="s">
        <v>19</v>
      </c>
      <c r="C65" s="180" t="s">
        <v>20</v>
      </c>
      <c r="D65" s="204">
        <f>D66-D64</f>
        <v>140937.7816</v>
      </c>
      <c r="E65" s="204">
        <f>E66-E64</f>
        <v>162128.82499999995</v>
      </c>
      <c r="F65" s="204">
        <f>F66-F64</f>
        <v>21191.043399999966</v>
      </c>
      <c r="G65" s="204">
        <f t="shared" si="0"/>
        <v>15.035743545434071</v>
      </c>
      <c r="H65" s="274" t="s">
        <v>300</v>
      </c>
    </row>
    <row r="66" spans="1:8" s="175" customFormat="1" ht="15.75" customHeight="1">
      <c r="A66" s="185" t="s">
        <v>10</v>
      </c>
      <c r="B66" s="179" t="s">
        <v>11</v>
      </c>
      <c r="C66" s="180" t="s">
        <v>20</v>
      </c>
      <c r="D66" s="204">
        <f>D68*D69/1000</f>
        <v>687208.2816</v>
      </c>
      <c r="E66" s="204">
        <f>E68*E69/1000</f>
        <v>696137</v>
      </c>
      <c r="F66" s="204">
        <f>E66-D66</f>
        <v>8928.718400000012</v>
      </c>
      <c r="G66" s="204">
        <f t="shared" si="0"/>
        <v>1.299273981275608</v>
      </c>
      <c r="H66" s="274" t="s">
        <v>300</v>
      </c>
    </row>
    <row r="67" spans="1:8" s="175" customFormat="1" ht="31.5" customHeight="1">
      <c r="A67" s="185" t="s">
        <v>270</v>
      </c>
      <c r="B67" s="179" t="s">
        <v>310</v>
      </c>
      <c r="C67" s="180" t="s">
        <v>20</v>
      </c>
      <c r="D67" s="204">
        <v>2641798.4</v>
      </c>
      <c r="E67" s="204">
        <f>'СВОД 2019'!F67*0.75</f>
        <v>2202978.675</v>
      </c>
      <c r="F67" s="204">
        <f>E67-D67</f>
        <v>-438819.7250000001</v>
      </c>
      <c r="G67" s="204">
        <f>F67/D67*100</f>
        <v>-16.61064390833154</v>
      </c>
      <c r="H67" s="274" t="s">
        <v>311</v>
      </c>
    </row>
    <row r="68" spans="1:8" s="187" customFormat="1" ht="15.75" customHeight="1">
      <c r="A68" s="185" t="s">
        <v>312</v>
      </c>
      <c r="B68" s="179" t="s">
        <v>12</v>
      </c>
      <c r="C68" s="180" t="s">
        <v>269</v>
      </c>
      <c r="D68" s="215">
        <v>987936</v>
      </c>
      <c r="E68" s="204">
        <f>'СВОД 2019'!G68</f>
        <v>1018222.61</v>
      </c>
      <c r="F68" s="204">
        <f>E68-D68</f>
        <v>30286.609999999986</v>
      </c>
      <c r="G68" s="204">
        <f t="shared" si="0"/>
        <v>3.06564494056295</v>
      </c>
      <c r="H68" s="274" t="s">
        <v>300</v>
      </c>
    </row>
    <row r="69" spans="1:8" s="175" customFormat="1" ht="16.5" customHeight="1">
      <c r="A69" s="177"/>
      <c r="B69" s="202" t="s">
        <v>146</v>
      </c>
      <c r="C69" s="174" t="s">
        <v>220</v>
      </c>
      <c r="D69" s="201">
        <v>695.6</v>
      </c>
      <c r="E69" s="201">
        <f>'СВОД 2019'!F70</f>
        <v>683.6785916588515</v>
      </c>
      <c r="F69" s="186">
        <f aca="true" t="shared" si="4" ref="F69:F78">E69-D69</f>
        <v>-11.921408341148549</v>
      </c>
      <c r="G69" s="186">
        <f t="shared" si="0"/>
        <v>-1.7138309863640813</v>
      </c>
      <c r="H69" s="274" t="s">
        <v>300</v>
      </c>
    </row>
    <row r="70" spans="1:8" s="175" customFormat="1" ht="12.75">
      <c r="A70" s="191"/>
      <c r="B70" s="181" t="s">
        <v>147</v>
      </c>
      <c r="C70" s="250"/>
      <c r="D70" s="202"/>
      <c r="E70" s="201"/>
      <c r="F70" s="186"/>
      <c r="G70" s="186"/>
      <c r="H70" s="272"/>
    </row>
    <row r="71" spans="1:8" s="187" customFormat="1" ht="16.5" customHeight="1">
      <c r="A71" s="192"/>
      <c r="B71" s="179" t="s">
        <v>148</v>
      </c>
      <c r="C71" s="188" t="s">
        <v>149</v>
      </c>
      <c r="D71" s="215">
        <f>'СВОД 2019'!D73</f>
        <v>89.9999922872157</v>
      </c>
      <c r="E71" s="215">
        <f>'СВОД 2019'!F73</f>
        <v>90</v>
      </c>
      <c r="F71" s="215">
        <f t="shared" si="4"/>
        <v>7.712784295677011E-06</v>
      </c>
      <c r="G71" s="204">
        <f t="shared" si="0"/>
        <v>8.569761062937996E-06</v>
      </c>
      <c r="H71" s="274"/>
    </row>
    <row r="72" spans="1:8" s="175" customFormat="1" ht="12.75">
      <c r="A72" s="191"/>
      <c r="B72" s="178" t="s">
        <v>38</v>
      </c>
      <c r="C72" s="189"/>
      <c r="D72" s="215"/>
      <c r="E72" s="215"/>
      <c r="F72" s="215"/>
      <c r="G72" s="204"/>
      <c r="H72" s="274"/>
    </row>
    <row r="73" spans="1:8" s="175" customFormat="1" ht="12.75">
      <c r="A73" s="191"/>
      <c r="B73" s="181" t="s">
        <v>151</v>
      </c>
      <c r="C73" s="189" t="s">
        <v>149</v>
      </c>
      <c r="D73" s="216">
        <v>76</v>
      </c>
      <c r="E73" s="216">
        <f>'СВОД 2019'!F75</f>
        <v>76</v>
      </c>
      <c r="F73" s="216">
        <f t="shared" si="4"/>
        <v>0</v>
      </c>
      <c r="G73" s="186">
        <f aca="true" t="shared" si="5" ref="G73:G78">F73/D73*100</f>
        <v>0</v>
      </c>
      <c r="H73" s="274"/>
    </row>
    <row r="74" spans="1:8" s="175" customFormat="1" ht="12.75">
      <c r="A74" s="191"/>
      <c r="B74" s="181" t="s">
        <v>150</v>
      </c>
      <c r="C74" s="189" t="s">
        <v>149</v>
      </c>
      <c r="D74" s="216">
        <v>14</v>
      </c>
      <c r="E74" s="216">
        <f>'СВОД 2019'!F76</f>
        <v>14</v>
      </c>
      <c r="F74" s="216">
        <f t="shared" si="4"/>
        <v>0</v>
      </c>
      <c r="G74" s="186">
        <f t="shared" si="5"/>
        <v>0</v>
      </c>
      <c r="H74" s="274"/>
    </row>
    <row r="75" spans="1:8" s="175" customFormat="1" ht="12.75">
      <c r="A75" s="191"/>
      <c r="B75" s="178" t="str">
        <f>B72</f>
        <v>в том числе:</v>
      </c>
      <c r="C75" s="189"/>
      <c r="D75" s="215"/>
      <c r="E75" s="215"/>
      <c r="F75" s="204"/>
      <c r="G75" s="204"/>
      <c r="H75" s="274"/>
    </row>
    <row r="76" spans="1:8" s="187" customFormat="1" ht="12.75">
      <c r="A76" s="192"/>
      <c r="B76" s="179" t="s">
        <v>152</v>
      </c>
      <c r="C76" s="188" t="s">
        <v>153</v>
      </c>
      <c r="D76" s="215">
        <f>'СВОД 2019'!D78</f>
        <v>113110.1948784578</v>
      </c>
      <c r="E76" s="215">
        <f>'СВОД 2019'!F78</f>
        <v>133958.11111111112</v>
      </c>
      <c r="F76" s="204">
        <f t="shared" si="4"/>
        <v>20847.916232653326</v>
      </c>
      <c r="G76" s="204">
        <f t="shared" si="5"/>
        <v>18.431509427647427</v>
      </c>
      <c r="H76" s="274"/>
    </row>
    <row r="77" spans="1:8" s="175" customFormat="1" ht="12.75">
      <c r="A77" s="191"/>
      <c r="B77" s="181" t="s">
        <v>151</v>
      </c>
      <c r="C77" s="189" t="s">
        <v>153</v>
      </c>
      <c r="D77" s="216">
        <f>'СВОД 2019'!D79</f>
        <v>103423.14</v>
      </c>
      <c r="E77" s="216">
        <f>'СВОД 2019'!F79</f>
        <v>118462.49999999999</v>
      </c>
      <c r="F77" s="186">
        <f t="shared" si="4"/>
        <v>15039.359999999986</v>
      </c>
      <c r="G77" s="186">
        <f t="shared" si="5"/>
        <v>14.541581313427523</v>
      </c>
      <c r="H77" s="274"/>
    </row>
    <row r="78" spans="1:8" s="175" customFormat="1" ht="13.5" thickBot="1">
      <c r="A78" s="193"/>
      <c r="B78" s="194" t="s">
        <v>150</v>
      </c>
      <c r="C78" s="195" t="s">
        <v>153</v>
      </c>
      <c r="D78" s="298">
        <f>'СВОД 2019'!D80</f>
        <v>165697.08000000002</v>
      </c>
      <c r="E78" s="298">
        <f>'СВОД 2019'!F80</f>
        <v>218077.14285714287</v>
      </c>
      <c r="F78" s="299">
        <f t="shared" si="4"/>
        <v>52380.06285714285</v>
      </c>
      <c r="G78" s="299">
        <f t="shared" si="5"/>
        <v>31.611940812199496</v>
      </c>
      <c r="H78" s="278"/>
    </row>
    <row r="79" spans="1:4" ht="15">
      <c r="A79" s="163"/>
      <c r="B79" s="164"/>
      <c r="C79" s="165"/>
      <c r="D79" s="165"/>
    </row>
    <row r="80" spans="1:6" s="170" customFormat="1" ht="14.25" hidden="1">
      <c r="A80" s="167"/>
      <c r="B80" s="168" t="s">
        <v>133</v>
      </c>
      <c r="C80" s="169"/>
      <c r="D80" s="169"/>
      <c r="F80" s="205"/>
    </row>
    <row r="81" spans="1:8" s="268" customFormat="1" ht="15.75">
      <c r="A81" s="301" t="s">
        <v>133</v>
      </c>
      <c r="B81" s="301"/>
      <c r="C81" s="269"/>
      <c r="D81" s="269" t="s">
        <v>141</v>
      </c>
      <c r="H81" s="270"/>
    </row>
    <row r="82" spans="1:6" s="166" customFormat="1" ht="15">
      <c r="A82" s="163"/>
      <c r="B82" s="164"/>
      <c r="C82" s="165"/>
      <c r="D82" s="165"/>
      <c r="F82" s="206"/>
    </row>
    <row r="83" spans="1:8" s="175" customFormat="1" ht="12.75">
      <c r="A83" s="303" t="s">
        <v>313</v>
      </c>
      <c r="B83" s="303"/>
      <c r="C83" s="303"/>
      <c r="D83" s="303"/>
      <c r="E83" s="303"/>
      <c r="F83" s="303"/>
      <c r="G83" s="303"/>
      <c r="H83" s="303"/>
    </row>
    <row r="84" spans="2:4" ht="15">
      <c r="B84" s="171"/>
      <c r="C84" s="162"/>
      <c r="D84" s="162"/>
    </row>
    <row r="88" ht="15">
      <c r="D88" s="172"/>
    </row>
    <row r="89" ht="15">
      <c r="D89" s="172"/>
    </row>
    <row r="90" ht="15">
      <c r="D90" s="172"/>
    </row>
    <row r="91" ht="15">
      <c r="D91" s="172"/>
    </row>
    <row r="92" ht="15">
      <c r="D92" s="165"/>
    </row>
    <row r="93" ht="15">
      <c r="D93" s="165"/>
    </row>
    <row r="94" ht="15">
      <c r="D94" s="165"/>
    </row>
  </sheetData>
  <sheetProtection/>
  <mergeCells count="6">
    <mergeCell ref="A1:H1"/>
    <mergeCell ref="A2:H2"/>
    <mergeCell ref="A3:H3"/>
    <mergeCell ref="A81:B81"/>
    <mergeCell ref="A4:B4"/>
    <mergeCell ref="A83:H83"/>
  </mergeCells>
  <printOptions/>
  <pageMargins left="0" right="0" top="0.5905511811023623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H82"/>
  <sheetViews>
    <sheetView zoomScale="84" zoomScaleNormal="84" workbookViewId="0" topLeftCell="A1">
      <selection activeCell="J74" sqref="J74"/>
    </sheetView>
  </sheetViews>
  <sheetFormatPr defaultColWidth="8.8515625" defaultRowHeight="12.75"/>
  <cols>
    <col min="1" max="1" width="6.8515625" style="199" customWidth="1"/>
    <col min="2" max="2" width="46.7109375" style="175" customWidth="1"/>
    <col min="3" max="3" width="12.140625" style="176" customWidth="1"/>
    <col min="4" max="4" width="14.8515625" style="176" customWidth="1"/>
    <col min="5" max="5" width="14.140625" style="175" customWidth="1"/>
    <col min="6" max="6" width="11.7109375" style="175" customWidth="1"/>
    <col min="7" max="7" width="8.57421875" style="175" customWidth="1"/>
    <col min="8" max="8" width="30.00390625" style="252" customWidth="1"/>
    <col min="9" max="9" width="8.8515625" style="175" customWidth="1"/>
    <col min="10" max="10" width="17.140625" style="175" customWidth="1"/>
    <col min="11" max="16384" width="8.8515625" style="175" customWidth="1"/>
  </cols>
  <sheetData>
    <row r="1" spans="1:8" ht="15.75">
      <c r="A1" s="304" t="s">
        <v>307</v>
      </c>
      <c r="B1" s="304"/>
      <c r="C1" s="304"/>
      <c r="D1" s="304"/>
      <c r="E1" s="304"/>
      <c r="F1" s="304"/>
      <c r="G1" s="304"/>
      <c r="H1" s="304"/>
    </row>
    <row r="2" spans="1:8" ht="54" customHeight="1">
      <c r="A2" s="304" t="s">
        <v>301</v>
      </c>
      <c r="B2" s="304"/>
      <c r="C2" s="304"/>
      <c r="D2" s="304"/>
      <c r="E2" s="304"/>
      <c r="F2" s="304"/>
      <c r="G2" s="304"/>
      <c r="H2" s="304"/>
    </row>
    <row r="3" spans="1:8" ht="15.75">
      <c r="A3" s="304" t="s">
        <v>302</v>
      </c>
      <c r="B3" s="304"/>
      <c r="C3" s="304"/>
      <c r="D3" s="304"/>
      <c r="E3" s="304"/>
      <c r="F3" s="304"/>
      <c r="G3" s="304"/>
      <c r="H3" s="304"/>
    </row>
    <row r="4" spans="1:4" ht="22.5" customHeight="1" thickBot="1">
      <c r="A4" s="305" t="s">
        <v>309</v>
      </c>
      <c r="B4" s="305"/>
      <c r="C4" s="224"/>
      <c r="D4" s="224"/>
    </row>
    <row r="5" spans="1:8" ht="51.75" customHeight="1" thickBot="1">
      <c r="A5" s="279" t="s">
        <v>21</v>
      </c>
      <c r="B5" s="280" t="s">
        <v>277</v>
      </c>
      <c r="C5" s="280" t="s">
        <v>144</v>
      </c>
      <c r="D5" s="281" t="s">
        <v>272</v>
      </c>
      <c r="E5" s="282" t="s">
        <v>276</v>
      </c>
      <c r="F5" s="283" t="s">
        <v>275</v>
      </c>
      <c r="G5" s="284" t="s">
        <v>154</v>
      </c>
      <c r="H5" s="285" t="s">
        <v>294</v>
      </c>
    </row>
    <row r="6" spans="1:8" ht="25.5">
      <c r="A6" s="182" t="s">
        <v>16</v>
      </c>
      <c r="B6" s="183" t="s">
        <v>15</v>
      </c>
      <c r="C6" s="184" t="s">
        <v>20</v>
      </c>
      <c r="D6" s="218">
        <f>D8+D15+D20+D21+D24</f>
        <v>123890.29999999999</v>
      </c>
      <c r="E6" s="218">
        <f>E8+E15+E20+E21+E24</f>
        <v>121647.90000000001</v>
      </c>
      <c r="F6" s="218">
        <f>F8+F15+F20+F21+F24</f>
        <v>-2242.3999999999887</v>
      </c>
      <c r="G6" s="218">
        <f>F6/D6*100</f>
        <v>-1.8099883525990241</v>
      </c>
      <c r="H6" s="286"/>
    </row>
    <row r="7" spans="1:8" ht="12.75">
      <c r="A7" s="177"/>
      <c r="B7" s="178" t="s">
        <v>38</v>
      </c>
      <c r="C7" s="174"/>
      <c r="D7" s="208"/>
      <c r="E7" s="209"/>
      <c r="F7" s="208"/>
      <c r="G7" s="207"/>
      <c r="H7" s="271"/>
    </row>
    <row r="8" spans="1:8" ht="12.75">
      <c r="A8" s="185" t="s">
        <v>39</v>
      </c>
      <c r="B8" s="179" t="s">
        <v>40</v>
      </c>
      <c r="C8" s="180" t="s">
        <v>20</v>
      </c>
      <c r="D8" s="207">
        <f>D10+D11+D12+D13+D14</f>
        <v>24803.899999999998</v>
      </c>
      <c r="E8" s="207">
        <f>E10+E11+E12+E13+E14</f>
        <v>25191.550000000003</v>
      </c>
      <c r="F8" s="207">
        <f>F10+F11+F12+F13+F14</f>
        <v>387.65000000000236</v>
      </c>
      <c r="G8" s="207">
        <f aca="true" t="shared" si="0" ref="G8:G71">F8/D8*100</f>
        <v>1.562859066517775</v>
      </c>
      <c r="H8" s="271"/>
    </row>
    <row r="9" spans="1:8" ht="12.75">
      <c r="A9" s="177"/>
      <c r="B9" s="181" t="s">
        <v>38</v>
      </c>
      <c r="C9" s="174"/>
      <c r="D9" s="208"/>
      <c r="E9" s="209"/>
      <c r="F9" s="208"/>
      <c r="G9" s="207"/>
      <c r="H9" s="272"/>
    </row>
    <row r="10" spans="1:8" ht="15.75" customHeight="1">
      <c r="A10" s="177" t="s">
        <v>22</v>
      </c>
      <c r="B10" s="181" t="s">
        <v>223</v>
      </c>
      <c r="C10" s="174" t="s">
        <v>20</v>
      </c>
      <c r="D10" s="208">
        <f>21210.6</f>
        <v>21210.6</v>
      </c>
      <c r="E10" s="208">
        <f>'СВОД 2019'!H8</f>
        <v>21275.4</v>
      </c>
      <c r="F10" s="208">
        <f>E10-D10</f>
        <v>64.80000000000291</v>
      </c>
      <c r="G10" s="208">
        <f t="shared" si="0"/>
        <v>0.30550762354673094</v>
      </c>
      <c r="H10" s="273" t="s">
        <v>297</v>
      </c>
    </row>
    <row r="11" spans="1:8" ht="15.75" customHeight="1">
      <c r="A11" s="177" t="s">
        <v>17</v>
      </c>
      <c r="B11" s="181" t="s">
        <v>222</v>
      </c>
      <c r="C11" s="174"/>
      <c r="D11" s="208">
        <f>10.3</f>
        <v>10.3</v>
      </c>
      <c r="E11" s="208">
        <f>'СВОД 2019'!H9</f>
        <v>11.25</v>
      </c>
      <c r="F11" s="208">
        <f>E11-D11</f>
        <v>0.9499999999999993</v>
      </c>
      <c r="G11" s="208">
        <f t="shared" si="0"/>
        <v>9.22330097087378</v>
      </c>
      <c r="H11" s="273" t="s">
        <v>297</v>
      </c>
    </row>
    <row r="12" spans="1:8" ht="15.75" customHeight="1">
      <c r="A12" s="177" t="s">
        <v>46</v>
      </c>
      <c r="B12" s="181" t="s">
        <v>58</v>
      </c>
      <c r="C12" s="174" t="s">
        <v>20</v>
      </c>
      <c r="D12" s="208">
        <f>2539.3</f>
        <v>2539.3</v>
      </c>
      <c r="E12" s="208">
        <f>'СВОД 2019'!H10</f>
        <v>2500.7749999999996</v>
      </c>
      <c r="F12" s="208">
        <f>E12-D12</f>
        <v>-38.525000000000546</v>
      </c>
      <c r="G12" s="208">
        <f t="shared" si="0"/>
        <v>-1.5171503957783856</v>
      </c>
      <c r="H12" s="273" t="s">
        <v>297</v>
      </c>
    </row>
    <row r="13" spans="1:8" ht="15.75" customHeight="1">
      <c r="A13" s="177" t="s">
        <v>47</v>
      </c>
      <c r="B13" s="181" t="s">
        <v>221</v>
      </c>
      <c r="C13" s="174" t="s">
        <v>20</v>
      </c>
      <c r="D13" s="208">
        <f>569.5</f>
        <v>569.5</v>
      </c>
      <c r="E13" s="208">
        <f>'СВОД 2019'!H11</f>
        <v>570.7750000000001</v>
      </c>
      <c r="F13" s="208">
        <f>E13-D13</f>
        <v>1.275000000000091</v>
      </c>
      <c r="G13" s="208">
        <f t="shared" si="0"/>
        <v>0.22388059701494134</v>
      </c>
      <c r="H13" s="273" t="s">
        <v>297</v>
      </c>
    </row>
    <row r="14" spans="1:8" ht="36.75" customHeight="1">
      <c r="A14" s="177" t="s">
        <v>225</v>
      </c>
      <c r="B14" s="181" t="s">
        <v>224</v>
      </c>
      <c r="C14" s="174" t="s">
        <v>20</v>
      </c>
      <c r="D14" s="208">
        <f>474.2</f>
        <v>474.2</v>
      </c>
      <c r="E14" s="208">
        <f>'СВОД 2019'!H12</f>
        <v>833.3499999999999</v>
      </c>
      <c r="F14" s="208">
        <f>E14-D14</f>
        <v>359.1499999999999</v>
      </c>
      <c r="G14" s="208">
        <f t="shared" si="0"/>
        <v>75.73808519611977</v>
      </c>
      <c r="H14" s="274" t="s">
        <v>298</v>
      </c>
    </row>
    <row r="15" spans="1:8" ht="15.75" customHeight="1">
      <c r="A15" s="185" t="s">
        <v>41</v>
      </c>
      <c r="B15" s="179" t="s">
        <v>42</v>
      </c>
      <c r="C15" s="180" t="s">
        <v>20</v>
      </c>
      <c r="D15" s="207">
        <f>D17+D18+D19</f>
        <v>26012.699999999997</v>
      </c>
      <c r="E15" s="207">
        <f>E17+E18+E19</f>
        <v>24782.25</v>
      </c>
      <c r="F15" s="207">
        <f>F17+F18+F19</f>
        <v>-1230.4499999999982</v>
      </c>
      <c r="G15" s="207">
        <f t="shared" si="0"/>
        <v>-4.730189484367245</v>
      </c>
      <c r="H15" s="274"/>
    </row>
    <row r="16" spans="1:8" ht="15.75" customHeight="1">
      <c r="A16" s="177"/>
      <c r="B16" s="178" t="s">
        <v>38</v>
      </c>
      <c r="C16" s="174"/>
      <c r="D16" s="208"/>
      <c r="E16" s="209"/>
      <c r="F16" s="208"/>
      <c r="G16" s="207"/>
      <c r="H16" s="274"/>
    </row>
    <row r="17" spans="1:8" ht="15.75" customHeight="1">
      <c r="A17" s="177" t="s">
        <v>23</v>
      </c>
      <c r="B17" s="181" t="s">
        <v>228</v>
      </c>
      <c r="C17" s="174" t="s">
        <v>20</v>
      </c>
      <c r="D17" s="208">
        <f>23637.1</f>
        <v>23637.1</v>
      </c>
      <c r="E17" s="208">
        <f>'СВОД 2019'!H15</f>
        <v>22507.875</v>
      </c>
      <c r="F17" s="208">
        <f>E17-D17</f>
        <v>-1129.2249999999985</v>
      </c>
      <c r="G17" s="208">
        <f t="shared" si="0"/>
        <v>-4.777341552051642</v>
      </c>
      <c r="H17" s="273" t="s">
        <v>297</v>
      </c>
    </row>
    <row r="18" spans="1:8" ht="15.75" customHeight="1">
      <c r="A18" s="177" t="s">
        <v>24</v>
      </c>
      <c r="B18" s="181" t="s">
        <v>227</v>
      </c>
      <c r="C18" s="174" t="s">
        <v>20</v>
      </c>
      <c r="D18" s="208">
        <f>2021</f>
        <v>2021</v>
      </c>
      <c r="E18" s="208">
        <f>'СВОД 2019'!H16</f>
        <v>1935.1000000000004</v>
      </c>
      <c r="F18" s="208">
        <f>E18-D18</f>
        <v>-85.89999999999964</v>
      </c>
      <c r="G18" s="208">
        <f t="shared" si="0"/>
        <v>-4.250371103414134</v>
      </c>
      <c r="H18" s="273" t="s">
        <v>297</v>
      </c>
    </row>
    <row r="19" spans="1:8" ht="15.75" customHeight="1">
      <c r="A19" s="177" t="s">
        <v>226</v>
      </c>
      <c r="B19" s="181" t="s">
        <v>229</v>
      </c>
      <c r="C19" s="174" t="s">
        <v>20</v>
      </c>
      <c r="D19" s="208">
        <f>354.6</f>
        <v>354.6</v>
      </c>
      <c r="E19" s="208">
        <f>'СВОД 2019'!H17</f>
        <v>339.275</v>
      </c>
      <c r="F19" s="208">
        <f>E19-D19</f>
        <v>-15.325000000000045</v>
      </c>
      <c r="G19" s="208">
        <f t="shared" si="0"/>
        <v>-4.32177100958828</v>
      </c>
      <c r="H19" s="273" t="s">
        <v>297</v>
      </c>
    </row>
    <row r="20" spans="1:8" ht="15.75" customHeight="1">
      <c r="A20" s="185" t="s">
        <v>43</v>
      </c>
      <c r="B20" s="179" t="s">
        <v>45</v>
      </c>
      <c r="C20" s="180" t="s">
        <v>20</v>
      </c>
      <c r="D20" s="207">
        <f>40608.7</f>
        <v>40608.7</v>
      </c>
      <c r="E20" s="207">
        <f>'СВОД 2019'!H18</f>
        <v>39403.25</v>
      </c>
      <c r="F20" s="207">
        <f>E20-D20</f>
        <v>-1205.449999999997</v>
      </c>
      <c r="G20" s="207">
        <f t="shared" si="0"/>
        <v>-2.9684525729708096</v>
      </c>
      <c r="H20" s="273" t="s">
        <v>297</v>
      </c>
    </row>
    <row r="21" spans="1:8" ht="12.75">
      <c r="A21" s="185" t="s">
        <v>44</v>
      </c>
      <c r="B21" s="179" t="s">
        <v>233</v>
      </c>
      <c r="C21" s="180" t="s">
        <v>20</v>
      </c>
      <c r="D21" s="207">
        <f>D23</f>
        <v>26308.7</v>
      </c>
      <c r="E21" s="207">
        <f>E23</f>
        <v>26245.725000000006</v>
      </c>
      <c r="F21" s="207">
        <f>F23</f>
        <v>-62.97499999999491</v>
      </c>
      <c r="G21" s="207">
        <f t="shared" si="0"/>
        <v>-0.23936948613954662</v>
      </c>
      <c r="H21" s="274"/>
    </row>
    <row r="22" spans="1:8" ht="12.75">
      <c r="A22" s="177"/>
      <c r="B22" s="178" t="s">
        <v>38</v>
      </c>
      <c r="C22" s="174"/>
      <c r="D22" s="208"/>
      <c r="E22" s="209"/>
      <c r="F22" s="208"/>
      <c r="G22" s="207"/>
      <c r="H22" s="274"/>
    </row>
    <row r="23" spans="1:8" ht="27.75" customHeight="1">
      <c r="A23" s="177" t="s">
        <v>25</v>
      </c>
      <c r="B23" s="181" t="s">
        <v>266</v>
      </c>
      <c r="C23" s="174" t="s">
        <v>20</v>
      </c>
      <c r="D23" s="208">
        <f>26308.7</f>
        <v>26308.7</v>
      </c>
      <c r="E23" s="208">
        <f>'СВОД 2019'!H21</f>
        <v>26245.725000000006</v>
      </c>
      <c r="F23" s="208">
        <f>E23-D23</f>
        <v>-62.97499999999491</v>
      </c>
      <c r="G23" s="208">
        <f t="shared" si="0"/>
        <v>-0.23936948613954662</v>
      </c>
      <c r="H23" s="273" t="s">
        <v>297</v>
      </c>
    </row>
    <row r="24" spans="1:8" ht="14.25" customHeight="1">
      <c r="A24" s="185" t="s">
        <v>0</v>
      </c>
      <c r="B24" s="179" t="s">
        <v>1</v>
      </c>
      <c r="C24" s="180" t="s">
        <v>20</v>
      </c>
      <c r="D24" s="207">
        <f>D26+D27+D28+D29+D30+D31+D32+D33</f>
        <v>6156.300000000001</v>
      </c>
      <c r="E24" s="207">
        <f>E26+E27+E28+E29+E30+E31+E32+E33</f>
        <v>6025.124999999999</v>
      </c>
      <c r="F24" s="207">
        <f>F26+F27+F28+F29+F30+F31+F32+F33</f>
        <v>-131.1750000000011</v>
      </c>
      <c r="G24" s="207">
        <f t="shared" si="0"/>
        <v>-2.1307441157838487</v>
      </c>
      <c r="H24" s="275"/>
    </row>
    <row r="25" spans="1:8" ht="12.75">
      <c r="A25" s="177"/>
      <c r="B25" s="178" t="s">
        <v>38</v>
      </c>
      <c r="C25" s="174"/>
      <c r="D25" s="208"/>
      <c r="E25" s="209"/>
      <c r="F25" s="208"/>
      <c r="G25" s="207"/>
      <c r="H25" s="274"/>
    </row>
    <row r="26" spans="1:8" ht="18.75" customHeight="1">
      <c r="A26" s="177" t="s">
        <v>49</v>
      </c>
      <c r="B26" s="181" t="s">
        <v>230</v>
      </c>
      <c r="C26" s="174" t="s">
        <v>20</v>
      </c>
      <c r="D26" s="208">
        <f>101.3</f>
        <v>101.3</v>
      </c>
      <c r="E26" s="208">
        <f>'СВОД 2019'!H24</f>
        <v>102.30000000000001</v>
      </c>
      <c r="F26" s="208">
        <f>E26-D26</f>
        <v>1.0000000000000142</v>
      </c>
      <c r="G26" s="208">
        <f t="shared" si="0"/>
        <v>0.9871668311944859</v>
      </c>
      <c r="H26" s="273" t="s">
        <v>297</v>
      </c>
    </row>
    <row r="27" spans="1:8" ht="16.5" customHeight="1">
      <c r="A27" s="177" t="s">
        <v>50</v>
      </c>
      <c r="B27" s="181" t="s">
        <v>231</v>
      </c>
      <c r="C27" s="174" t="s">
        <v>20</v>
      </c>
      <c r="D27" s="208">
        <f>3305.8</f>
        <v>3305.8</v>
      </c>
      <c r="E27" s="208">
        <f>'СВОД 2019'!H25</f>
        <v>3235.0499999999993</v>
      </c>
      <c r="F27" s="208">
        <f aca="true" t="shared" si="1" ref="F27:F33">E27-D27</f>
        <v>-70.75000000000091</v>
      </c>
      <c r="G27" s="208">
        <f t="shared" si="0"/>
        <v>-2.1401778691996163</v>
      </c>
      <c r="H27" s="273" t="s">
        <v>297</v>
      </c>
    </row>
    <row r="28" spans="1:8" ht="17.25" customHeight="1">
      <c r="A28" s="177" t="s">
        <v>51</v>
      </c>
      <c r="B28" s="181" t="s">
        <v>273</v>
      </c>
      <c r="C28" s="174" t="s">
        <v>20</v>
      </c>
      <c r="D28" s="208">
        <f>123.4</f>
        <v>123.4</v>
      </c>
      <c r="E28" s="208">
        <f>'СВОД 2019'!H26</f>
        <v>123.07499999999999</v>
      </c>
      <c r="F28" s="208">
        <f t="shared" si="1"/>
        <v>-0.32500000000001705</v>
      </c>
      <c r="G28" s="208">
        <f t="shared" si="0"/>
        <v>-0.2633711507293493</v>
      </c>
      <c r="H28" s="273" t="s">
        <v>297</v>
      </c>
    </row>
    <row r="29" spans="1:8" ht="16.5" customHeight="1">
      <c r="A29" s="177" t="s">
        <v>52</v>
      </c>
      <c r="B29" s="181" t="s">
        <v>232</v>
      </c>
      <c r="C29" s="174" t="s">
        <v>20</v>
      </c>
      <c r="D29" s="208">
        <f>1339.1</f>
        <v>1339.1</v>
      </c>
      <c r="E29" s="208">
        <f>'СВОД 2019'!H27</f>
        <v>1286.1999999999998</v>
      </c>
      <c r="F29" s="208">
        <f t="shared" si="1"/>
        <v>-52.90000000000009</v>
      </c>
      <c r="G29" s="208">
        <f t="shared" si="0"/>
        <v>-3.9504144574714433</v>
      </c>
      <c r="H29" s="273" t="s">
        <v>297</v>
      </c>
    </row>
    <row r="30" spans="1:8" ht="16.5" customHeight="1">
      <c r="A30" s="177" t="s">
        <v>53</v>
      </c>
      <c r="B30" s="181" t="s">
        <v>234</v>
      </c>
      <c r="C30" s="174" t="s">
        <v>20</v>
      </c>
      <c r="D30" s="208">
        <f>127.6</f>
        <v>127.6</v>
      </c>
      <c r="E30" s="208">
        <f>'СВОД 2019'!H28</f>
        <v>122.47500000000002</v>
      </c>
      <c r="F30" s="208">
        <f t="shared" si="1"/>
        <v>-5.124999999999972</v>
      </c>
      <c r="G30" s="208">
        <f t="shared" si="0"/>
        <v>-4.016457680250761</v>
      </c>
      <c r="H30" s="273" t="s">
        <v>297</v>
      </c>
    </row>
    <row r="31" spans="1:8" ht="16.5" customHeight="1">
      <c r="A31" s="177" t="s">
        <v>54</v>
      </c>
      <c r="B31" s="181" t="s">
        <v>235</v>
      </c>
      <c r="C31" s="174" t="s">
        <v>20</v>
      </c>
      <c r="D31" s="208">
        <f>44</f>
        <v>44</v>
      </c>
      <c r="E31" s="208">
        <f>'СВОД 2019'!H29</f>
        <v>43.44999999999999</v>
      </c>
      <c r="F31" s="208">
        <f t="shared" si="1"/>
        <v>-0.5500000000000114</v>
      </c>
      <c r="G31" s="208">
        <f t="shared" si="0"/>
        <v>-1.250000000000026</v>
      </c>
      <c r="H31" s="273" t="s">
        <v>297</v>
      </c>
    </row>
    <row r="32" spans="1:8" ht="15.75" customHeight="1">
      <c r="A32" s="177" t="s">
        <v>55</v>
      </c>
      <c r="B32" s="181" t="s">
        <v>236</v>
      </c>
      <c r="C32" s="174" t="s">
        <v>20</v>
      </c>
      <c r="D32" s="208">
        <f>7.5</f>
        <v>7.5</v>
      </c>
      <c r="E32" s="208">
        <f>'СВОД 2019'!H30</f>
        <v>7.5</v>
      </c>
      <c r="F32" s="208">
        <f t="shared" si="1"/>
        <v>0</v>
      </c>
      <c r="G32" s="208">
        <f t="shared" si="0"/>
        <v>0</v>
      </c>
      <c r="H32" s="273" t="s">
        <v>297</v>
      </c>
    </row>
    <row r="33" spans="1:8" ht="16.5" customHeight="1">
      <c r="A33" s="177" t="s">
        <v>56</v>
      </c>
      <c r="B33" s="181" t="s">
        <v>237</v>
      </c>
      <c r="C33" s="174" t="s">
        <v>20</v>
      </c>
      <c r="D33" s="208">
        <f>1107.6</f>
        <v>1107.6</v>
      </c>
      <c r="E33" s="208">
        <f>'СВОД 2019'!H31</f>
        <v>1105.0749999999998</v>
      </c>
      <c r="F33" s="208">
        <f t="shared" si="1"/>
        <v>-2.525000000000091</v>
      </c>
      <c r="G33" s="208">
        <f t="shared" si="0"/>
        <v>-0.2279703864210989</v>
      </c>
      <c r="H33" s="273" t="s">
        <v>297</v>
      </c>
    </row>
    <row r="34" spans="1:8" ht="15.75" customHeight="1">
      <c r="A34" s="185" t="s">
        <v>3</v>
      </c>
      <c r="B34" s="179" t="s">
        <v>4</v>
      </c>
      <c r="C34" s="180" t="s">
        <v>20</v>
      </c>
      <c r="D34" s="207">
        <f>D35+D63</f>
        <v>58783</v>
      </c>
      <c r="E34" s="207">
        <f>E35+E63</f>
        <v>56354.825</v>
      </c>
      <c r="F34" s="207">
        <f>F35+F63</f>
        <v>-2428.1750000000034</v>
      </c>
      <c r="G34" s="207">
        <f t="shared" si="0"/>
        <v>-4.13074358232823</v>
      </c>
      <c r="H34" s="274"/>
    </row>
    <row r="35" spans="1:8" ht="18" customHeight="1">
      <c r="A35" s="185">
        <v>6</v>
      </c>
      <c r="B35" s="179" t="s">
        <v>5</v>
      </c>
      <c r="C35" s="180" t="s">
        <v>20</v>
      </c>
      <c r="D35" s="207">
        <f>D37+D38+D39+D40+D41+D42+D50+D51+D52+D53+D54</f>
        <v>27036.5</v>
      </c>
      <c r="E35" s="207">
        <f>E37+E38+E39+E40+E41+E42+E50+E51+E52+E53+E54</f>
        <v>26684.550000000003</v>
      </c>
      <c r="F35" s="207">
        <f>F37+F38+F39+F40+F41+F42+F50+F51+F52+F53+F54</f>
        <v>-351.94999999999754</v>
      </c>
      <c r="G35" s="207">
        <f t="shared" si="0"/>
        <v>-1.3017587335638767</v>
      </c>
      <c r="H35" s="276"/>
    </row>
    <row r="36" spans="1:8" ht="12.75">
      <c r="A36" s="177"/>
      <c r="B36" s="181" t="s">
        <v>38</v>
      </c>
      <c r="C36" s="174"/>
      <c r="D36" s="208"/>
      <c r="E36" s="209"/>
      <c r="F36" s="208"/>
      <c r="G36" s="207"/>
      <c r="H36" s="276"/>
    </row>
    <row r="37" spans="1:8" s="187" customFormat="1" ht="12.75">
      <c r="A37" s="185" t="s">
        <v>26</v>
      </c>
      <c r="B37" s="179" t="s">
        <v>238</v>
      </c>
      <c r="C37" s="180" t="s">
        <v>20</v>
      </c>
      <c r="D37" s="207">
        <f>6976</f>
        <v>6976</v>
      </c>
      <c r="E37" s="207">
        <f>'СВОД 2019'!H35</f>
        <v>7632.700000000001</v>
      </c>
      <c r="F37" s="207">
        <f>E37-D37</f>
        <v>656.7000000000007</v>
      </c>
      <c r="G37" s="207">
        <f t="shared" si="0"/>
        <v>9.413704128440378</v>
      </c>
      <c r="H37" s="274" t="s">
        <v>299</v>
      </c>
    </row>
    <row r="38" spans="1:8" s="187" customFormat="1" ht="14.25" customHeight="1">
      <c r="A38" s="185" t="s">
        <v>27</v>
      </c>
      <c r="B38" s="179" t="s">
        <v>227</v>
      </c>
      <c r="C38" s="180" t="s">
        <v>20</v>
      </c>
      <c r="D38" s="207">
        <f>596.4</f>
        <v>596.4</v>
      </c>
      <c r="E38" s="207">
        <f>'СВОД 2019'!H36</f>
        <v>690.875</v>
      </c>
      <c r="F38" s="207">
        <f>E38-D38</f>
        <v>94.47500000000002</v>
      </c>
      <c r="G38" s="207">
        <f t="shared" si="0"/>
        <v>15.840878604963116</v>
      </c>
      <c r="H38" s="274" t="s">
        <v>299</v>
      </c>
    </row>
    <row r="39" spans="1:8" s="187" customFormat="1" ht="12.75">
      <c r="A39" s="185" t="s">
        <v>28</v>
      </c>
      <c r="B39" s="179" t="s">
        <v>271</v>
      </c>
      <c r="C39" s="180" t="s">
        <v>20</v>
      </c>
      <c r="D39" s="207">
        <v>104.6</v>
      </c>
      <c r="E39" s="207">
        <f>'СВОД 2019'!H37</f>
        <v>102.625</v>
      </c>
      <c r="F39" s="207">
        <f>E39-D39</f>
        <v>-1.9749999999999943</v>
      </c>
      <c r="G39" s="207">
        <f t="shared" si="0"/>
        <v>-1.8881453154875665</v>
      </c>
      <c r="H39" s="274" t="s">
        <v>299</v>
      </c>
    </row>
    <row r="40" spans="1:8" s="187" customFormat="1" ht="27" customHeight="1">
      <c r="A40" s="185" t="s">
        <v>29</v>
      </c>
      <c r="B40" s="179" t="s">
        <v>274</v>
      </c>
      <c r="C40" s="180" t="s">
        <v>20</v>
      </c>
      <c r="D40" s="207">
        <v>240.7</v>
      </c>
      <c r="E40" s="207">
        <f>'СВОД 2019'!H38</f>
        <v>323.92499999999995</v>
      </c>
      <c r="F40" s="207">
        <f>E40-D40</f>
        <v>83.22499999999997</v>
      </c>
      <c r="G40" s="207">
        <f t="shared" si="0"/>
        <v>34.57623597839633</v>
      </c>
      <c r="H40" s="274" t="s">
        <v>299</v>
      </c>
    </row>
    <row r="41" spans="1:8" ht="12.75">
      <c r="A41" s="185" t="s">
        <v>30</v>
      </c>
      <c r="B41" s="179" t="s">
        <v>241</v>
      </c>
      <c r="C41" s="180" t="s">
        <v>20</v>
      </c>
      <c r="D41" s="207">
        <f>33.4</f>
        <v>33.4</v>
      </c>
      <c r="E41" s="207">
        <f>'СВОД 2019'!H39</f>
        <v>31.974999999999994</v>
      </c>
      <c r="F41" s="207">
        <f>E41-D41</f>
        <v>-1.4250000000000043</v>
      </c>
      <c r="G41" s="207">
        <f t="shared" si="0"/>
        <v>-4.266467065868277</v>
      </c>
      <c r="H41" s="274" t="s">
        <v>299</v>
      </c>
    </row>
    <row r="42" spans="1:8" ht="12.75">
      <c r="A42" s="185" t="s">
        <v>31</v>
      </c>
      <c r="B42" s="179" t="s">
        <v>240</v>
      </c>
      <c r="C42" s="180" t="s">
        <v>20</v>
      </c>
      <c r="D42" s="207">
        <f>D44+D45+D46+D47+D48+D49</f>
        <v>1811.6999999999998</v>
      </c>
      <c r="E42" s="207">
        <f>E44+E45+E46+E47+E48+E49</f>
        <v>1874.3749999999998</v>
      </c>
      <c r="F42" s="207">
        <f>F44+F45+F46+F47+F48+F49</f>
        <v>62.6749999999999</v>
      </c>
      <c r="G42" s="207">
        <f t="shared" si="0"/>
        <v>3.459457967654684</v>
      </c>
      <c r="H42" s="274"/>
    </row>
    <row r="43" spans="1:8" ht="15" customHeight="1">
      <c r="A43" s="177"/>
      <c r="B43" s="178" t="s">
        <v>38</v>
      </c>
      <c r="C43" s="174"/>
      <c r="D43" s="208"/>
      <c r="E43" s="209"/>
      <c r="F43" s="208"/>
      <c r="G43" s="207"/>
      <c r="H43" s="274"/>
    </row>
    <row r="44" spans="1:8" ht="24" customHeight="1">
      <c r="A44" s="177" t="s">
        <v>242</v>
      </c>
      <c r="B44" s="178" t="s">
        <v>260</v>
      </c>
      <c r="C44" s="174" t="s">
        <v>20</v>
      </c>
      <c r="D44" s="208">
        <f>1372.1</f>
        <v>1372.1</v>
      </c>
      <c r="E44" s="208">
        <f>'СВОД 2019'!H42</f>
        <v>1357.0749999999998</v>
      </c>
      <c r="F44" s="208">
        <f>E44-D44</f>
        <v>-15.025000000000091</v>
      </c>
      <c r="G44" s="208">
        <f t="shared" si="0"/>
        <v>-1.095036804897609</v>
      </c>
      <c r="H44" s="274" t="s">
        <v>300</v>
      </c>
    </row>
    <row r="45" spans="1:8" ht="15" customHeight="1">
      <c r="A45" s="177" t="s">
        <v>243</v>
      </c>
      <c r="B45" s="178" t="s">
        <v>261</v>
      </c>
      <c r="C45" s="174" t="s">
        <v>20</v>
      </c>
      <c r="D45" s="208">
        <f>148</f>
        <v>148</v>
      </c>
      <c r="E45" s="208">
        <f>'СВОД 2019'!H43</f>
        <v>203.77499999999998</v>
      </c>
      <c r="F45" s="208">
        <f aca="true" t="shared" si="2" ref="F45:F53">E45-D45</f>
        <v>55.77499999999998</v>
      </c>
      <c r="G45" s="208">
        <f t="shared" si="0"/>
        <v>37.68581081081079</v>
      </c>
      <c r="H45" s="274" t="s">
        <v>300</v>
      </c>
    </row>
    <row r="46" spans="1:8" ht="15" customHeight="1">
      <c r="A46" s="177" t="s">
        <v>244</v>
      </c>
      <c r="B46" s="178" t="s">
        <v>262</v>
      </c>
      <c r="C46" s="174" t="s">
        <v>20</v>
      </c>
      <c r="D46" s="208">
        <f>26</f>
        <v>26</v>
      </c>
      <c r="E46" s="208">
        <f>'СВОД 2019'!H44</f>
        <v>25.099999999999994</v>
      </c>
      <c r="F46" s="208">
        <f t="shared" si="2"/>
        <v>-0.9000000000000057</v>
      </c>
      <c r="G46" s="208">
        <f t="shared" si="0"/>
        <v>-3.4615384615384834</v>
      </c>
      <c r="H46" s="274" t="s">
        <v>300</v>
      </c>
    </row>
    <row r="47" spans="1:8" ht="12" customHeight="1">
      <c r="A47" s="177" t="s">
        <v>245</v>
      </c>
      <c r="B47" s="178" t="s">
        <v>263</v>
      </c>
      <c r="C47" s="174" t="s">
        <v>20</v>
      </c>
      <c r="D47" s="208">
        <f>94.8</f>
        <v>94.8</v>
      </c>
      <c r="E47" s="208">
        <f>'СВОД 2019'!H45</f>
        <v>93.80000000000001</v>
      </c>
      <c r="F47" s="208">
        <f t="shared" si="2"/>
        <v>-0.9999999999999858</v>
      </c>
      <c r="G47" s="208">
        <f t="shared" si="0"/>
        <v>-1.0548523206750906</v>
      </c>
      <c r="H47" s="274" t="s">
        <v>300</v>
      </c>
    </row>
    <row r="48" spans="1:8" ht="28.5" customHeight="1">
      <c r="A48" s="177" t="s">
        <v>246</v>
      </c>
      <c r="B48" s="178" t="s">
        <v>264</v>
      </c>
      <c r="C48" s="174" t="s">
        <v>20</v>
      </c>
      <c r="D48" s="208">
        <f>67.2</f>
        <v>67.2</v>
      </c>
      <c r="E48" s="208">
        <f>'СВОД 2019'!H46</f>
        <v>67.32499999999999</v>
      </c>
      <c r="F48" s="208">
        <f t="shared" si="2"/>
        <v>0.12499999999998579</v>
      </c>
      <c r="G48" s="208">
        <f t="shared" si="0"/>
        <v>0.18601190476188362</v>
      </c>
      <c r="H48" s="274" t="s">
        <v>300</v>
      </c>
    </row>
    <row r="49" spans="1:8" s="187" customFormat="1" ht="25.5" customHeight="1">
      <c r="A49" s="177" t="s">
        <v>247</v>
      </c>
      <c r="B49" s="178" t="s">
        <v>265</v>
      </c>
      <c r="C49" s="174" t="s">
        <v>20</v>
      </c>
      <c r="D49" s="208">
        <f>103.6</f>
        <v>103.6</v>
      </c>
      <c r="E49" s="208">
        <f>'СВОД 2019'!H47</f>
        <v>127.30000000000001</v>
      </c>
      <c r="F49" s="208">
        <f t="shared" si="2"/>
        <v>23.700000000000017</v>
      </c>
      <c r="G49" s="208">
        <f t="shared" si="0"/>
        <v>22.876447876447894</v>
      </c>
      <c r="H49" s="274" t="s">
        <v>300</v>
      </c>
    </row>
    <row r="50" spans="1:8" s="187" customFormat="1" ht="15" customHeight="1">
      <c r="A50" s="185" t="s">
        <v>32</v>
      </c>
      <c r="B50" s="179" t="s">
        <v>248</v>
      </c>
      <c r="C50" s="180" t="s">
        <v>20</v>
      </c>
      <c r="D50" s="207">
        <f>151.8</f>
        <v>151.8</v>
      </c>
      <c r="E50" s="207">
        <f>'СВОД 2019'!H48</f>
        <v>162.85000000000002</v>
      </c>
      <c r="F50" s="207">
        <f t="shared" si="2"/>
        <v>11.050000000000011</v>
      </c>
      <c r="G50" s="207">
        <f t="shared" si="0"/>
        <v>7.279314888010548</v>
      </c>
      <c r="H50" s="274" t="s">
        <v>300</v>
      </c>
    </row>
    <row r="51" spans="1:8" s="187" customFormat="1" ht="15" customHeight="1">
      <c r="A51" s="185" t="s">
        <v>33</v>
      </c>
      <c r="B51" s="179" t="s">
        <v>230</v>
      </c>
      <c r="C51" s="180" t="s">
        <v>20</v>
      </c>
      <c r="D51" s="207">
        <f>185.2</f>
        <v>185.2</v>
      </c>
      <c r="E51" s="207">
        <f>'СВОД 2019'!H49</f>
        <v>176.42499999999995</v>
      </c>
      <c r="F51" s="207">
        <f t="shared" si="2"/>
        <v>-8.775000000000034</v>
      </c>
      <c r="G51" s="207">
        <f t="shared" si="0"/>
        <v>-4.738120950323993</v>
      </c>
      <c r="H51" s="274" t="s">
        <v>300</v>
      </c>
    </row>
    <row r="52" spans="1:8" s="187" customFormat="1" ht="36" customHeight="1">
      <c r="A52" s="185" t="s">
        <v>37</v>
      </c>
      <c r="B52" s="179" t="s">
        <v>250</v>
      </c>
      <c r="C52" s="180" t="s">
        <v>20</v>
      </c>
      <c r="D52" s="207">
        <f>11131.5</f>
        <v>11131.5</v>
      </c>
      <c r="E52" s="207">
        <f>'СВОД 2019'!H50</f>
        <v>10019.775000000001</v>
      </c>
      <c r="F52" s="207">
        <f t="shared" si="2"/>
        <v>-1111.7249999999985</v>
      </c>
      <c r="G52" s="207">
        <f t="shared" si="0"/>
        <v>-9.987198490769424</v>
      </c>
      <c r="H52" s="274" t="s">
        <v>303</v>
      </c>
    </row>
    <row r="53" spans="1:8" s="187" customFormat="1" ht="15" customHeight="1">
      <c r="A53" s="185" t="s">
        <v>249</v>
      </c>
      <c r="B53" s="179" t="s">
        <v>58</v>
      </c>
      <c r="C53" s="180" t="s">
        <v>20</v>
      </c>
      <c r="D53" s="207">
        <f>144.2</f>
        <v>144.2</v>
      </c>
      <c r="E53" s="207">
        <f>'СВОД 2019'!H51</f>
        <v>142.52499999999998</v>
      </c>
      <c r="F53" s="207">
        <f t="shared" si="2"/>
        <v>-1.6750000000000114</v>
      </c>
      <c r="G53" s="207">
        <f t="shared" si="0"/>
        <v>-1.1615811373093006</v>
      </c>
      <c r="H53" s="274" t="s">
        <v>300</v>
      </c>
    </row>
    <row r="54" spans="1:8" ht="15" customHeight="1">
      <c r="A54" s="185" t="s">
        <v>252</v>
      </c>
      <c r="B54" s="179" t="s">
        <v>251</v>
      </c>
      <c r="C54" s="180" t="s">
        <v>20</v>
      </c>
      <c r="D54" s="207">
        <f>D56+D57+D58+D59+D60+D61+D62</f>
        <v>5661</v>
      </c>
      <c r="E54" s="207">
        <f>E56+E57+E58+E59+E60+E61+E62</f>
        <v>5526.500000000001</v>
      </c>
      <c r="F54" s="207">
        <f>F56+F57+F58+F59+F60+F61+F62</f>
        <v>-134.49999999999946</v>
      </c>
      <c r="G54" s="207">
        <f t="shared" si="0"/>
        <v>-2.375905317081778</v>
      </c>
      <c r="H54" s="274"/>
    </row>
    <row r="55" spans="1:8" ht="15" customHeight="1">
      <c r="A55" s="177"/>
      <c r="B55" s="178" t="s">
        <v>38</v>
      </c>
      <c r="C55" s="174"/>
      <c r="D55" s="208"/>
      <c r="E55" s="209"/>
      <c r="F55" s="208"/>
      <c r="G55" s="207"/>
      <c r="H55" s="274"/>
    </row>
    <row r="56" spans="1:8" ht="15" customHeight="1">
      <c r="A56" s="177" t="s">
        <v>253</v>
      </c>
      <c r="B56" s="178" t="s">
        <v>35</v>
      </c>
      <c r="C56" s="174" t="s">
        <v>20</v>
      </c>
      <c r="D56" s="208">
        <v>37.7</v>
      </c>
      <c r="E56" s="208">
        <f>'СВОД 2019'!H54</f>
        <v>36.3</v>
      </c>
      <c r="F56" s="208">
        <f>E56-D56</f>
        <v>-1.4000000000000057</v>
      </c>
      <c r="G56" s="208">
        <f t="shared" si="0"/>
        <v>-3.7135278514589003</v>
      </c>
      <c r="H56" s="274" t="s">
        <v>300</v>
      </c>
    </row>
    <row r="57" spans="1:8" ht="15" customHeight="1">
      <c r="A57" s="177" t="s">
        <v>254</v>
      </c>
      <c r="B57" s="178" t="s">
        <v>6</v>
      </c>
      <c r="C57" s="174" t="s">
        <v>20</v>
      </c>
      <c r="D57" s="208">
        <f>6.7</f>
        <v>6.7</v>
      </c>
      <c r="E57" s="208">
        <f>'СВОД 2019'!H55</f>
        <v>6.524999999999999</v>
      </c>
      <c r="F57" s="208">
        <f aca="true" t="shared" si="3" ref="F57:F62">E57-D57</f>
        <v>-0.1750000000000016</v>
      </c>
      <c r="G57" s="208">
        <f t="shared" si="0"/>
        <v>-2.6119402985074864</v>
      </c>
      <c r="H57" s="274" t="s">
        <v>300</v>
      </c>
    </row>
    <row r="58" spans="1:8" ht="18.75" customHeight="1">
      <c r="A58" s="177" t="s">
        <v>255</v>
      </c>
      <c r="B58" s="178" t="s">
        <v>34</v>
      </c>
      <c r="C58" s="174" t="s">
        <v>20</v>
      </c>
      <c r="D58" s="208">
        <f>46.6</f>
        <v>46.6</v>
      </c>
      <c r="E58" s="208">
        <f>'СВОД 2019'!H56</f>
        <v>45.224999999999994</v>
      </c>
      <c r="F58" s="208">
        <f t="shared" si="3"/>
        <v>-1.375000000000007</v>
      </c>
      <c r="G58" s="208">
        <f t="shared" si="0"/>
        <v>-2.9506437768240494</v>
      </c>
      <c r="H58" s="274" t="s">
        <v>300</v>
      </c>
    </row>
    <row r="59" spans="1:8" ht="15" customHeight="1">
      <c r="A59" s="177" t="s">
        <v>256</v>
      </c>
      <c r="B59" s="178" t="s">
        <v>13</v>
      </c>
      <c r="C59" s="174" t="s">
        <v>20</v>
      </c>
      <c r="D59" s="208">
        <f>111</f>
        <v>111</v>
      </c>
      <c r="E59" s="208">
        <f>'СВОД 2019'!H57</f>
        <v>115.80000000000001</v>
      </c>
      <c r="F59" s="208">
        <f t="shared" si="3"/>
        <v>4.800000000000011</v>
      </c>
      <c r="G59" s="208">
        <f t="shared" si="0"/>
        <v>4.324324324324334</v>
      </c>
      <c r="H59" s="274" t="s">
        <v>300</v>
      </c>
    </row>
    <row r="60" spans="1:8" ht="15" customHeight="1">
      <c r="A60" s="177" t="s">
        <v>257</v>
      </c>
      <c r="B60" s="178" t="s">
        <v>2</v>
      </c>
      <c r="C60" s="174" t="s">
        <v>20</v>
      </c>
      <c r="D60" s="208">
        <f>3812.6</f>
        <v>3812.6</v>
      </c>
      <c r="E60" s="208">
        <f>'СВОД 2019'!H58</f>
        <v>3689.7250000000004</v>
      </c>
      <c r="F60" s="208">
        <f t="shared" si="3"/>
        <v>-122.87499999999955</v>
      </c>
      <c r="G60" s="208">
        <f t="shared" si="0"/>
        <v>-3.2228662854744674</v>
      </c>
      <c r="H60" s="274" t="s">
        <v>300</v>
      </c>
    </row>
    <row r="61" spans="1:8" s="187" customFormat="1" ht="15" customHeight="1">
      <c r="A61" s="177" t="s">
        <v>258</v>
      </c>
      <c r="B61" s="178" t="s">
        <v>14</v>
      </c>
      <c r="C61" s="174" t="s">
        <v>20</v>
      </c>
      <c r="D61" s="208">
        <f>510</f>
        <v>510</v>
      </c>
      <c r="E61" s="208">
        <f>'СВОД 2019'!H59</f>
        <v>499.25</v>
      </c>
      <c r="F61" s="208">
        <f t="shared" si="3"/>
        <v>-10.75</v>
      </c>
      <c r="G61" s="208">
        <f t="shared" si="0"/>
        <v>-2.107843137254902</v>
      </c>
      <c r="H61" s="274" t="s">
        <v>300</v>
      </c>
    </row>
    <row r="62" spans="1:8" ht="12.75">
      <c r="A62" s="177" t="s">
        <v>259</v>
      </c>
      <c r="B62" s="178" t="s">
        <v>36</v>
      </c>
      <c r="C62" s="174" t="s">
        <v>20</v>
      </c>
      <c r="D62" s="208">
        <f>1136.4</f>
        <v>1136.4</v>
      </c>
      <c r="E62" s="208">
        <f>'СВОД 2019'!H60</f>
        <v>1133.6750000000002</v>
      </c>
      <c r="F62" s="208">
        <f t="shared" si="3"/>
        <v>-2.724999999999909</v>
      </c>
      <c r="G62" s="208">
        <f t="shared" si="0"/>
        <v>-0.23979232664553932</v>
      </c>
      <c r="H62" s="274" t="s">
        <v>300</v>
      </c>
    </row>
    <row r="63" spans="1:8" ht="24">
      <c r="A63" s="185">
        <v>7</v>
      </c>
      <c r="B63" s="179" t="s">
        <v>7</v>
      </c>
      <c r="C63" s="180" t="s">
        <v>20</v>
      </c>
      <c r="D63" s="249">
        <f>31746.5</f>
        <v>31746.5</v>
      </c>
      <c r="E63" s="207">
        <f>'СВОД 2019'!H61</f>
        <v>29670.274999999994</v>
      </c>
      <c r="F63" s="207">
        <f aca="true" t="shared" si="4" ref="F63:F68">E63-D63</f>
        <v>-2076.225000000006</v>
      </c>
      <c r="G63" s="207">
        <f t="shared" si="0"/>
        <v>-6.540012284818817</v>
      </c>
      <c r="H63" s="274" t="s">
        <v>314</v>
      </c>
    </row>
    <row r="64" spans="1:8" ht="12.75">
      <c r="A64" s="185" t="s">
        <v>8</v>
      </c>
      <c r="B64" s="179" t="s">
        <v>18</v>
      </c>
      <c r="C64" s="180" t="s">
        <v>20</v>
      </c>
      <c r="D64" s="207">
        <f>D6+D34</f>
        <v>182673.3</v>
      </c>
      <c r="E64" s="207">
        <f>E6+E34</f>
        <v>178002.725</v>
      </c>
      <c r="F64" s="207">
        <f t="shared" si="4"/>
        <v>-4670.5749999999825</v>
      </c>
      <c r="G64" s="207">
        <f t="shared" si="0"/>
        <v>-2.556791277105074</v>
      </c>
      <c r="H64" s="274" t="s">
        <v>300</v>
      </c>
    </row>
    <row r="65" spans="1:8" ht="12.75">
      <c r="A65" s="185" t="s">
        <v>9</v>
      </c>
      <c r="B65" s="179" t="s">
        <v>19</v>
      </c>
      <c r="C65" s="180" t="s">
        <v>20</v>
      </c>
      <c r="D65" s="207">
        <f>D66-D64</f>
        <v>47130.100000000006</v>
      </c>
      <c r="E65" s="207">
        <f>E66-E64</f>
        <v>54607.375</v>
      </c>
      <c r="F65" s="207">
        <f t="shared" si="4"/>
        <v>7477.274999999994</v>
      </c>
      <c r="G65" s="207">
        <f t="shared" si="0"/>
        <v>15.865179577382593</v>
      </c>
      <c r="H65" s="274" t="s">
        <v>300</v>
      </c>
    </row>
    <row r="66" spans="1:8" ht="12.75">
      <c r="A66" s="185" t="s">
        <v>10</v>
      </c>
      <c r="B66" s="179" t="s">
        <v>11</v>
      </c>
      <c r="C66" s="180" t="s">
        <v>20</v>
      </c>
      <c r="D66" s="207">
        <v>229803.4</v>
      </c>
      <c r="E66" s="207">
        <f>E68*E69/1000</f>
        <v>232610.1</v>
      </c>
      <c r="F66" s="207">
        <f t="shared" si="4"/>
        <v>2806.7000000000116</v>
      </c>
      <c r="G66" s="207">
        <f t="shared" si="0"/>
        <v>1.221348335142131</v>
      </c>
      <c r="H66" s="274" t="s">
        <v>300</v>
      </c>
    </row>
    <row r="67" spans="1:8" ht="27" customHeight="1">
      <c r="A67" s="185" t="s">
        <v>270</v>
      </c>
      <c r="B67" s="179" t="s">
        <v>310</v>
      </c>
      <c r="C67" s="180" t="s">
        <v>20</v>
      </c>
      <c r="D67" s="207">
        <v>745122.6</v>
      </c>
      <c r="E67" s="207">
        <f>'СВОД 2019'!F67*0.25</f>
        <v>734326.225</v>
      </c>
      <c r="F67" s="207">
        <f t="shared" si="4"/>
        <v>-10796.375</v>
      </c>
      <c r="G67" s="207">
        <f t="shared" si="0"/>
        <v>-1.4489394094340986</v>
      </c>
      <c r="H67" s="274" t="s">
        <v>311</v>
      </c>
    </row>
    <row r="68" spans="1:8" ht="12.75">
      <c r="A68" s="185" t="s">
        <v>312</v>
      </c>
      <c r="B68" s="179" t="s">
        <v>12</v>
      </c>
      <c r="C68" s="180" t="s">
        <v>268</v>
      </c>
      <c r="D68" s="211">
        <v>286678</v>
      </c>
      <c r="E68" s="207">
        <f>'СВОД 2019'!H69</f>
        <v>294796.32</v>
      </c>
      <c r="F68" s="207">
        <f t="shared" si="4"/>
        <v>8118.320000000007</v>
      </c>
      <c r="G68" s="207">
        <f t="shared" si="0"/>
        <v>2.831860135762077</v>
      </c>
      <c r="H68" s="274" t="s">
        <v>300</v>
      </c>
    </row>
    <row r="69" spans="1:8" ht="15" customHeight="1">
      <c r="A69" s="177"/>
      <c r="B69" s="202" t="s">
        <v>146</v>
      </c>
      <c r="C69" s="174" t="s">
        <v>267</v>
      </c>
      <c r="D69" s="209">
        <v>801.61</v>
      </c>
      <c r="E69" s="209">
        <f>'СВОД 2019'!F71</f>
        <v>789.0536082675659</v>
      </c>
      <c r="F69" s="208">
        <f aca="true" t="shared" si="5" ref="F69:F78">E69-D69</f>
        <v>-12.556391732434122</v>
      </c>
      <c r="G69" s="208">
        <f t="shared" si="0"/>
        <v>-1.5663965934100275</v>
      </c>
      <c r="H69" s="274" t="s">
        <v>300</v>
      </c>
    </row>
    <row r="70" spans="1:8" ht="12.75">
      <c r="A70" s="191"/>
      <c r="B70" s="181" t="s">
        <v>147</v>
      </c>
      <c r="C70" s="250"/>
      <c r="D70" s="251"/>
      <c r="E70" s="209"/>
      <c r="F70" s="207"/>
      <c r="G70" s="207"/>
      <c r="H70" s="272"/>
    </row>
    <row r="71" spans="1:8" ht="12.75">
      <c r="A71" s="192"/>
      <c r="B71" s="179" t="s">
        <v>148</v>
      </c>
      <c r="C71" s="188" t="s">
        <v>149</v>
      </c>
      <c r="D71" s="211">
        <f>'СВОД 2019'!D73</f>
        <v>89.9999922872157</v>
      </c>
      <c r="E71" s="211">
        <f>'СВОД 2019'!F73</f>
        <v>90</v>
      </c>
      <c r="F71" s="211">
        <f t="shared" si="5"/>
        <v>7.712784295677011E-06</v>
      </c>
      <c r="G71" s="207">
        <f t="shared" si="0"/>
        <v>8.569761062937996E-06</v>
      </c>
      <c r="H71" s="274"/>
    </row>
    <row r="72" spans="1:8" ht="12.75">
      <c r="A72" s="191"/>
      <c r="B72" s="178" t="s">
        <v>38</v>
      </c>
      <c r="C72" s="189"/>
      <c r="D72" s="212"/>
      <c r="E72" s="211"/>
      <c r="F72" s="211"/>
      <c r="G72" s="207"/>
      <c r="H72" s="274"/>
    </row>
    <row r="73" spans="1:8" ht="12.75">
      <c r="A73" s="191"/>
      <c r="B73" s="181" t="s">
        <v>151</v>
      </c>
      <c r="C73" s="189" t="s">
        <v>149</v>
      </c>
      <c r="D73" s="212">
        <f>'СВОД 2019'!D75</f>
        <v>75.99999703483508</v>
      </c>
      <c r="E73" s="212">
        <f>'СВОД 2019'!F75</f>
        <v>76</v>
      </c>
      <c r="F73" s="212">
        <f t="shared" si="5"/>
        <v>2.9651649242623535E-06</v>
      </c>
      <c r="G73" s="208">
        <f aca="true" t="shared" si="6" ref="G73:G78">F73/D73*100</f>
        <v>3.901532947301632E-06</v>
      </c>
      <c r="H73" s="274"/>
    </row>
    <row r="74" spans="1:8" ht="12.75">
      <c r="A74" s="191"/>
      <c r="B74" s="181" t="s">
        <v>150</v>
      </c>
      <c r="C74" s="189" t="s">
        <v>149</v>
      </c>
      <c r="D74" s="212">
        <f>'СВОД 2019'!D76</f>
        <v>13.999995252380627</v>
      </c>
      <c r="E74" s="212">
        <f>'СВОД 2019'!F76</f>
        <v>14</v>
      </c>
      <c r="F74" s="212">
        <f t="shared" si="5"/>
        <v>4.747619373191014E-06</v>
      </c>
      <c r="G74" s="208">
        <f t="shared" si="6"/>
        <v>3.391157845131202E-05</v>
      </c>
      <c r="H74" s="274"/>
    </row>
    <row r="75" spans="1:8" ht="12.75">
      <c r="A75" s="191"/>
      <c r="B75" s="178" t="str">
        <f>B72</f>
        <v>в том числе:</v>
      </c>
      <c r="C75" s="189"/>
      <c r="D75" s="211"/>
      <c r="E75" s="212"/>
      <c r="F75" s="207"/>
      <c r="G75" s="207"/>
      <c r="H75" s="274"/>
    </row>
    <row r="76" spans="1:8" ht="12.75">
      <c r="A76" s="192"/>
      <c r="B76" s="179" t="s">
        <v>152</v>
      </c>
      <c r="C76" s="188" t="s">
        <v>153</v>
      </c>
      <c r="D76" s="211">
        <f>'СВОД 2019'!D78</f>
        <v>113110.1948784578</v>
      </c>
      <c r="E76" s="211">
        <f>'СВОД 2019'!F78</f>
        <v>133958.11111111112</v>
      </c>
      <c r="F76" s="207">
        <f t="shared" si="5"/>
        <v>20847.916232653326</v>
      </c>
      <c r="G76" s="207">
        <f t="shared" si="6"/>
        <v>18.431509427647427</v>
      </c>
      <c r="H76" s="274"/>
    </row>
    <row r="77" spans="1:8" ht="12.75">
      <c r="A77" s="191"/>
      <c r="B77" s="181" t="s">
        <v>151</v>
      </c>
      <c r="C77" s="189" t="s">
        <v>153</v>
      </c>
      <c r="D77" s="212">
        <f>'СВОД 2019'!D79</f>
        <v>103423.14</v>
      </c>
      <c r="E77" s="212">
        <f>'СВОД 2019'!F79</f>
        <v>118462.49999999999</v>
      </c>
      <c r="F77" s="208">
        <f t="shared" si="5"/>
        <v>15039.359999999986</v>
      </c>
      <c r="G77" s="208">
        <f t="shared" si="6"/>
        <v>14.541581313427523</v>
      </c>
      <c r="H77" s="274"/>
    </row>
    <row r="78" spans="1:8" ht="15" customHeight="1" thickBot="1">
      <c r="A78" s="193"/>
      <c r="B78" s="194" t="s">
        <v>150</v>
      </c>
      <c r="C78" s="195" t="s">
        <v>153</v>
      </c>
      <c r="D78" s="277">
        <f>'СВОД 2019'!D80</f>
        <v>165697.08000000002</v>
      </c>
      <c r="E78" s="277">
        <f>'СВОД 2019'!F80</f>
        <v>218077.14285714287</v>
      </c>
      <c r="F78" s="214">
        <f t="shared" si="5"/>
        <v>52380.06285714285</v>
      </c>
      <c r="G78" s="214">
        <f t="shared" si="6"/>
        <v>31.611940812199496</v>
      </c>
      <c r="H78" s="278"/>
    </row>
    <row r="80" spans="1:8" s="268" customFormat="1" ht="15.75">
      <c r="A80" s="267"/>
      <c r="B80" s="268" t="s">
        <v>133</v>
      </c>
      <c r="C80" s="269"/>
      <c r="D80" s="269" t="s">
        <v>141</v>
      </c>
      <c r="H80" s="270"/>
    </row>
    <row r="82" spans="1:8" ht="12.75">
      <c r="A82" s="303" t="s">
        <v>313</v>
      </c>
      <c r="B82" s="303"/>
      <c r="C82" s="303"/>
      <c r="D82" s="303"/>
      <c r="E82" s="303"/>
      <c r="F82" s="303"/>
      <c r="G82" s="303"/>
      <c r="H82" s="303"/>
    </row>
  </sheetData>
  <sheetProtection/>
  <mergeCells count="5">
    <mergeCell ref="A1:H1"/>
    <mergeCell ref="A2:H2"/>
    <mergeCell ref="A3:H3"/>
    <mergeCell ref="A4:B4"/>
    <mergeCell ref="A82:H82"/>
  </mergeCells>
  <printOptions/>
  <pageMargins left="0" right="0" top="0.3937007874015748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N83"/>
  <sheetViews>
    <sheetView tabSelected="1" zoomScalePageLayoutView="0" workbookViewId="0" topLeftCell="A28">
      <selection activeCell="O14" sqref="O14"/>
    </sheetView>
  </sheetViews>
  <sheetFormatPr defaultColWidth="9.140625" defaultRowHeight="12.75"/>
  <cols>
    <col min="1" max="1" width="6.00390625" style="199" customWidth="1"/>
    <col min="2" max="2" width="33.57421875" style="175" customWidth="1"/>
    <col min="3" max="3" width="9.7109375" style="176" customWidth="1"/>
    <col min="4" max="4" width="12.28125" style="176" customWidth="1"/>
    <col min="5" max="5" width="12.140625" style="176" hidden="1" customWidth="1"/>
    <col min="6" max="6" width="12.421875" style="227" customWidth="1"/>
    <col min="7" max="8" width="11.00390625" style="175" customWidth="1"/>
    <col min="9" max="9" width="10.8515625" style="227" customWidth="1"/>
    <col min="10" max="10" width="5.7109375" style="175" customWidth="1"/>
    <col min="11" max="11" width="11.421875" style="175" hidden="1" customWidth="1"/>
    <col min="12" max="12" width="10.7109375" style="175" hidden="1" customWidth="1"/>
    <col min="13" max="13" width="7.8515625" style="175" customWidth="1"/>
    <col min="14" max="14" width="10.421875" style="175" bestFit="1" customWidth="1"/>
    <col min="15" max="15" width="9.8515625" style="175" bestFit="1" customWidth="1"/>
    <col min="16" max="16384" width="9.140625" style="175" customWidth="1"/>
  </cols>
  <sheetData>
    <row r="1" spans="1:11" s="200" customFormat="1" ht="34.5" customHeight="1" thickBot="1">
      <c r="A1" s="300" t="s">
        <v>308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</row>
    <row r="2" spans="1:11" s="200" customFormat="1" ht="33.75" customHeight="1">
      <c r="A2" s="308" t="s">
        <v>21</v>
      </c>
      <c r="B2" s="306" t="s">
        <v>145</v>
      </c>
      <c r="C2" s="306" t="s">
        <v>144</v>
      </c>
      <c r="D2" s="310" t="s">
        <v>287</v>
      </c>
      <c r="E2" s="310" t="s">
        <v>289</v>
      </c>
      <c r="F2" s="322" t="s">
        <v>291</v>
      </c>
      <c r="G2" s="234"/>
      <c r="H2" s="234"/>
      <c r="I2" s="318" t="s">
        <v>286</v>
      </c>
      <c r="J2" s="319"/>
      <c r="K2" s="320" t="s">
        <v>290</v>
      </c>
    </row>
    <row r="3" spans="1:11" s="176" customFormat="1" ht="33.75" customHeight="1" thickBot="1">
      <c r="A3" s="309"/>
      <c r="B3" s="307"/>
      <c r="C3" s="307"/>
      <c r="D3" s="311"/>
      <c r="E3" s="311"/>
      <c r="F3" s="323"/>
      <c r="G3" s="235" t="s">
        <v>278</v>
      </c>
      <c r="H3" s="235" t="s">
        <v>279</v>
      </c>
      <c r="I3" s="236" t="s">
        <v>275</v>
      </c>
      <c r="J3" s="247" t="s">
        <v>154</v>
      </c>
      <c r="K3" s="321"/>
    </row>
    <row r="4" spans="1:11" ht="25.5">
      <c r="A4" s="182" t="s">
        <v>16</v>
      </c>
      <c r="B4" s="183" t="s">
        <v>15</v>
      </c>
      <c r="C4" s="184" t="s">
        <v>20</v>
      </c>
      <c r="D4" s="218">
        <f>D6+D13+D18+D19+D22</f>
        <v>494374.60000000003</v>
      </c>
      <c r="E4" s="218">
        <f>D4/12*9</f>
        <v>370780.95000000007</v>
      </c>
      <c r="F4" s="218">
        <f>F6+F13+F18+F19+F22</f>
        <v>486591.6</v>
      </c>
      <c r="G4" s="218">
        <f>G6+G13+G18+G19+G22</f>
        <v>364943.7</v>
      </c>
      <c r="H4" s="218">
        <f>H6+H13+H18+H19+H22</f>
        <v>121647.90000000001</v>
      </c>
      <c r="I4" s="218">
        <f>I6+I13+I18+I19+I22</f>
        <v>-7782.999999999987</v>
      </c>
      <c r="J4" s="219">
        <f>I4/D4*100</f>
        <v>-1.574312272515616</v>
      </c>
      <c r="K4" s="238">
        <f>I4/3</f>
        <v>-2594.333333333329</v>
      </c>
    </row>
    <row r="5" spans="1:11" ht="12" customHeight="1">
      <c r="A5" s="177"/>
      <c r="B5" s="178" t="s">
        <v>38</v>
      </c>
      <c r="C5" s="174"/>
      <c r="D5" s="208"/>
      <c r="E5" s="207"/>
      <c r="F5" s="208"/>
      <c r="G5" s="209"/>
      <c r="H5" s="209"/>
      <c r="I5" s="208"/>
      <c r="J5" s="220"/>
      <c r="K5" s="239"/>
    </row>
    <row r="6" spans="1:11" s="187" customFormat="1" ht="15.75" customHeight="1">
      <c r="A6" s="185" t="s">
        <v>39</v>
      </c>
      <c r="B6" s="179" t="s">
        <v>40</v>
      </c>
      <c r="C6" s="180" t="s">
        <v>20</v>
      </c>
      <c r="D6" s="207">
        <f>D8+D9+D10+D11+D12</f>
        <v>98978.09999999999</v>
      </c>
      <c r="E6" s="207">
        <f>D6/12*9</f>
        <v>74233.575</v>
      </c>
      <c r="F6" s="207">
        <f>F8+F9+F10+F11+F12</f>
        <v>100766.20000000001</v>
      </c>
      <c r="G6" s="207">
        <f>G8+G9+G10+G11+G12</f>
        <v>75574.65000000001</v>
      </c>
      <c r="H6" s="207">
        <f>H8+H9+H10+H11+H12</f>
        <v>25191.550000000003</v>
      </c>
      <c r="I6" s="207">
        <f>I8+I9+I10+I11+I12</f>
        <v>1788.1000000000104</v>
      </c>
      <c r="J6" s="220">
        <f aca="true" t="shared" si="0" ref="J6:J71">I6/D6*100</f>
        <v>1.806561249407708</v>
      </c>
      <c r="K6" s="239">
        <f aca="true" t="shared" si="1" ref="K6:K69">I6/3</f>
        <v>596.0333333333368</v>
      </c>
    </row>
    <row r="7" spans="1:11" ht="12.75">
      <c r="A7" s="177"/>
      <c r="B7" s="181" t="s">
        <v>38</v>
      </c>
      <c r="C7" s="174"/>
      <c r="D7" s="208"/>
      <c r="E7" s="208"/>
      <c r="F7" s="208"/>
      <c r="G7" s="209"/>
      <c r="H7" s="209"/>
      <c r="I7" s="208"/>
      <c r="J7" s="221"/>
      <c r="K7" s="240"/>
    </row>
    <row r="8" spans="1:11" ht="12" customHeight="1">
      <c r="A8" s="177" t="s">
        <v>22</v>
      </c>
      <c r="B8" s="181" t="s">
        <v>223</v>
      </c>
      <c r="C8" s="174" t="s">
        <v>20</v>
      </c>
      <c r="D8" s="208">
        <f>'Проезд '!D10+Маневры!D10</f>
        <v>84639.4</v>
      </c>
      <c r="E8" s="208">
        <f>D8/12*9</f>
        <v>63479.549999999996</v>
      </c>
      <c r="F8" s="208">
        <v>85101.6</v>
      </c>
      <c r="G8" s="208">
        <f>F8*0.75</f>
        <v>63826.200000000004</v>
      </c>
      <c r="H8" s="208">
        <f>F8-G8</f>
        <v>21275.4</v>
      </c>
      <c r="I8" s="208">
        <f>F8-D8</f>
        <v>462.20000000001164</v>
      </c>
      <c r="J8" s="221">
        <f t="shared" si="0"/>
        <v>0.5460813758131694</v>
      </c>
      <c r="K8" s="240">
        <f t="shared" si="1"/>
        <v>154.06666666667056</v>
      </c>
    </row>
    <row r="9" spans="1:11" ht="12" customHeight="1">
      <c r="A9" s="177" t="s">
        <v>17</v>
      </c>
      <c r="B9" s="181" t="s">
        <v>222</v>
      </c>
      <c r="C9" s="174"/>
      <c r="D9" s="208">
        <f>'Проезд '!D11+Маневры!D11</f>
        <v>41.2</v>
      </c>
      <c r="E9" s="208">
        <f aca="true" t="shared" si="2" ref="E9:E69">D9/12*9</f>
        <v>30.900000000000002</v>
      </c>
      <c r="F9" s="208">
        <v>45</v>
      </c>
      <c r="G9" s="208">
        <f>F9*0.75</f>
        <v>33.75</v>
      </c>
      <c r="H9" s="208">
        <f aca="true" t="shared" si="3" ref="H9:H61">F9-G9</f>
        <v>11.25</v>
      </c>
      <c r="I9" s="208">
        <f>F9-D9</f>
        <v>3.799999999999997</v>
      </c>
      <c r="J9" s="221">
        <f t="shared" si="0"/>
        <v>9.22330097087378</v>
      </c>
      <c r="K9" s="240">
        <f t="shared" si="1"/>
        <v>1.2666666666666657</v>
      </c>
    </row>
    <row r="10" spans="1:11" ht="12" customHeight="1">
      <c r="A10" s="177" t="s">
        <v>46</v>
      </c>
      <c r="B10" s="181" t="s">
        <v>58</v>
      </c>
      <c r="C10" s="174" t="s">
        <v>20</v>
      </c>
      <c r="D10" s="208">
        <f>'Проезд '!D12+Маневры!D12</f>
        <v>10132.900000000001</v>
      </c>
      <c r="E10" s="208">
        <f t="shared" si="2"/>
        <v>7599.675000000001</v>
      </c>
      <c r="F10" s="208">
        <v>10003.1</v>
      </c>
      <c r="G10" s="208">
        <f>F10*0.75</f>
        <v>7502.325000000001</v>
      </c>
      <c r="H10" s="208">
        <f t="shared" si="3"/>
        <v>2500.7749999999996</v>
      </c>
      <c r="I10" s="208">
        <f>F10-D10</f>
        <v>-129.8000000000011</v>
      </c>
      <c r="J10" s="221">
        <f t="shared" si="0"/>
        <v>-1.2809758312033186</v>
      </c>
      <c r="K10" s="240">
        <f t="shared" si="1"/>
        <v>-43.26666666666703</v>
      </c>
    </row>
    <row r="11" spans="1:11" ht="12" customHeight="1">
      <c r="A11" s="177" t="s">
        <v>47</v>
      </c>
      <c r="B11" s="181" t="s">
        <v>221</v>
      </c>
      <c r="C11" s="174" t="s">
        <v>20</v>
      </c>
      <c r="D11" s="208">
        <f>'Проезд '!D13+Маневры!D13</f>
        <v>2272.4</v>
      </c>
      <c r="E11" s="208">
        <f t="shared" si="2"/>
        <v>1704.3000000000002</v>
      </c>
      <c r="F11" s="208">
        <v>2283.1</v>
      </c>
      <c r="G11" s="208">
        <f>F11*0.75</f>
        <v>1712.3249999999998</v>
      </c>
      <c r="H11" s="208">
        <f t="shared" si="3"/>
        <v>570.7750000000001</v>
      </c>
      <c r="I11" s="208">
        <f>F11-D11</f>
        <v>10.699999999999818</v>
      </c>
      <c r="J11" s="221">
        <f t="shared" si="0"/>
        <v>0.4708678049639068</v>
      </c>
      <c r="K11" s="240">
        <f t="shared" si="1"/>
        <v>3.566666666666606</v>
      </c>
    </row>
    <row r="12" spans="1:11" ht="12" customHeight="1">
      <c r="A12" s="177" t="s">
        <v>225</v>
      </c>
      <c r="B12" s="181" t="s">
        <v>224</v>
      </c>
      <c r="C12" s="174" t="s">
        <v>20</v>
      </c>
      <c r="D12" s="208">
        <f>'Проезд '!D14+Маневры!D14</f>
        <v>1892.2</v>
      </c>
      <c r="E12" s="208">
        <f t="shared" si="2"/>
        <v>1419.15</v>
      </c>
      <c r="F12" s="208">
        <v>3333.4</v>
      </c>
      <c r="G12" s="208">
        <f>F12*0.75</f>
        <v>2500.05</v>
      </c>
      <c r="H12" s="208">
        <f t="shared" si="3"/>
        <v>833.3499999999999</v>
      </c>
      <c r="I12" s="208">
        <f>F12-D12</f>
        <v>1441.2</v>
      </c>
      <c r="J12" s="221">
        <f t="shared" si="0"/>
        <v>76.16531022090687</v>
      </c>
      <c r="K12" s="240">
        <f t="shared" si="1"/>
        <v>480.40000000000003</v>
      </c>
    </row>
    <row r="13" spans="1:13" s="187" customFormat="1" ht="12" customHeight="1">
      <c r="A13" s="185" t="s">
        <v>41</v>
      </c>
      <c r="B13" s="179" t="s">
        <v>42</v>
      </c>
      <c r="C13" s="180" t="s">
        <v>20</v>
      </c>
      <c r="D13" s="207">
        <f>D15+D16+D17</f>
        <v>103801.4</v>
      </c>
      <c r="E13" s="207">
        <f t="shared" si="2"/>
        <v>77851.05</v>
      </c>
      <c r="F13" s="207">
        <f>F15+F16+F17</f>
        <v>99129</v>
      </c>
      <c r="G13" s="207">
        <f>G15+G16+G17</f>
        <v>74346.75</v>
      </c>
      <c r="H13" s="207">
        <f t="shared" si="3"/>
        <v>24782.25</v>
      </c>
      <c r="I13" s="207">
        <f>I15+I16+I17</f>
        <v>-4672.399999999995</v>
      </c>
      <c r="J13" s="220">
        <f t="shared" si="0"/>
        <v>-4.501288036577536</v>
      </c>
      <c r="K13" s="239">
        <f t="shared" si="1"/>
        <v>-1557.466666666665</v>
      </c>
      <c r="L13" s="316"/>
      <c r="M13" s="317"/>
    </row>
    <row r="14" spans="1:13" ht="12" customHeight="1">
      <c r="A14" s="177"/>
      <c r="B14" s="178" t="s">
        <v>38</v>
      </c>
      <c r="C14" s="174"/>
      <c r="D14" s="208"/>
      <c r="E14" s="208">
        <f t="shared" si="2"/>
        <v>0</v>
      </c>
      <c r="F14" s="208"/>
      <c r="G14" s="209"/>
      <c r="H14" s="208"/>
      <c r="I14" s="208"/>
      <c r="J14" s="221"/>
      <c r="K14" s="240"/>
      <c r="L14" s="227"/>
      <c r="M14" s="227"/>
    </row>
    <row r="15" spans="1:13" ht="12" customHeight="1">
      <c r="A15" s="177" t="s">
        <v>23</v>
      </c>
      <c r="B15" s="181" t="s">
        <v>228</v>
      </c>
      <c r="C15" s="174" t="s">
        <v>20</v>
      </c>
      <c r="D15" s="208">
        <f>'Проезд '!D17+Маневры!D17</f>
        <v>94321.9</v>
      </c>
      <c r="E15" s="208">
        <f t="shared" si="2"/>
        <v>70741.42499999999</v>
      </c>
      <c r="F15" s="208">
        <f>82031.5+8000</f>
        <v>90031.5</v>
      </c>
      <c r="G15" s="208">
        <f>F15*0.75</f>
        <v>67523.625</v>
      </c>
      <c r="H15" s="208">
        <f t="shared" si="3"/>
        <v>22507.875</v>
      </c>
      <c r="I15" s="208">
        <f>F15-D15</f>
        <v>-4290.399999999994</v>
      </c>
      <c r="J15" s="221">
        <f t="shared" si="0"/>
        <v>-4.548678514745774</v>
      </c>
      <c r="K15" s="240">
        <f t="shared" si="1"/>
        <v>-1430.1333333333314</v>
      </c>
      <c r="L15" s="227">
        <f>D15*0.955</f>
        <v>90077.41449999998</v>
      </c>
      <c r="M15" s="227"/>
    </row>
    <row r="16" spans="1:12" ht="12" customHeight="1">
      <c r="A16" s="177" t="s">
        <v>24</v>
      </c>
      <c r="B16" s="181" t="s">
        <v>227</v>
      </c>
      <c r="C16" s="174" t="s">
        <v>20</v>
      </c>
      <c r="D16" s="208">
        <f>'Проезд '!D18+Маневры!D18</f>
        <v>8064.6</v>
      </c>
      <c r="E16" s="208">
        <f t="shared" si="2"/>
        <v>6048.450000000001</v>
      </c>
      <c r="F16" s="208">
        <f>7440.4+300</f>
        <v>7740.4</v>
      </c>
      <c r="G16" s="208">
        <f>F16*0.75</f>
        <v>5805.299999999999</v>
      </c>
      <c r="H16" s="208">
        <f t="shared" si="3"/>
        <v>1935.1000000000004</v>
      </c>
      <c r="I16" s="208">
        <f>F16-D16</f>
        <v>-324.2000000000007</v>
      </c>
      <c r="J16" s="221">
        <f t="shared" si="0"/>
        <v>-4.020038191602817</v>
      </c>
      <c r="K16" s="240">
        <f t="shared" si="1"/>
        <v>-108.0666666666669</v>
      </c>
      <c r="L16" s="187">
        <f>L15-F15</f>
        <v>45.9144999999844</v>
      </c>
    </row>
    <row r="17" spans="1:11" ht="12" customHeight="1">
      <c r="A17" s="177" t="s">
        <v>226</v>
      </c>
      <c r="B17" s="181" t="s">
        <v>229</v>
      </c>
      <c r="C17" s="174" t="s">
        <v>20</v>
      </c>
      <c r="D17" s="208">
        <f>'Проезд '!D19+Маневры!D19</f>
        <v>1414.9</v>
      </c>
      <c r="E17" s="208">
        <f t="shared" si="2"/>
        <v>1061.1750000000002</v>
      </c>
      <c r="F17" s="208">
        <f>1237.1+120</f>
        <v>1357.1</v>
      </c>
      <c r="G17" s="208">
        <f>F17*0.75</f>
        <v>1017.8249999999999</v>
      </c>
      <c r="H17" s="208">
        <f t="shared" si="3"/>
        <v>339.275</v>
      </c>
      <c r="I17" s="208">
        <f>F17-D17</f>
        <v>-57.80000000000018</v>
      </c>
      <c r="J17" s="221">
        <f t="shared" si="0"/>
        <v>-4.085094352957819</v>
      </c>
      <c r="K17" s="240">
        <f t="shared" si="1"/>
        <v>-19.266666666666726</v>
      </c>
    </row>
    <row r="18" spans="1:12" s="187" customFormat="1" ht="12" customHeight="1">
      <c r="A18" s="185" t="s">
        <v>43</v>
      </c>
      <c r="B18" s="179" t="s">
        <v>45</v>
      </c>
      <c r="C18" s="180" t="s">
        <v>20</v>
      </c>
      <c r="D18" s="207">
        <f>'Проезд '!D20+Маневры!D20</f>
        <v>162045.9</v>
      </c>
      <c r="E18" s="207">
        <f t="shared" si="2"/>
        <v>121534.42499999999</v>
      </c>
      <c r="F18" s="207">
        <v>157613</v>
      </c>
      <c r="G18" s="207">
        <f>F18*0.75</f>
        <v>118209.75</v>
      </c>
      <c r="H18" s="207">
        <f t="shared" si="3"/>
        <v>39403.25</v>
      </c>
      <c r="I18" s="207">
        <f>F18-D18</f>
        <v>-4432.899999999994</v>
      </c>
      <c r="J18" s="220">
        <f t="shared" si="0"/>
        <v>-2.735582942857545</v>
      </c>
      <c r="K18" s="239">
        <f t="shared" si="1"/>
        <v>-1477.6333333333314</v>
      </c>
      <c r="L18" s="187">
        <f>D18*0.955</f>
        <v>154753.8345</v>
      </c>
    </row>
    <row r="19" spans="1:12" ht="12" customHeight="1">
      <c r="A19" s="185" t="s">
        <v>44</v>
      </c>
      <c r="B19" s="179" t="s">
        <v>233</v>
      </c>
      <c r="C19" s="180" t="s">
        <v>20</v>
      </c>
      <c r="D19" s="207">
        <f>D21</f>
        <v>104982.8</v>
      </c>
      <c r="E19" s="207">
        <f t="shared" si="2"/>
        <v>78737.1</v>
      </c>
      <c r="F19" s="207">
        <f>F21</f>
        <v>104982.9</v>
      </c>
      <c r="G19" s="207">
        <f>G21</f>
        <v>78737.17499999999</v>
      </c>
      <c r="H19" s="207">
        <f t="shared" si="3"/>
        <v>26245.725000000006</v>
      </c>
      <c r="I19" s="207">
        <f>I21</f>
        <v>0.09999999999126885</v>
      </c>
      <c r="J19" s="220">
        <f t="shared" si="0"/>
        <v>9.525369869280383E-05</v>
      </c>
      <c r="K19" s="239">
        <f t="shared" si="1"/>
        <v>0.03333333333042295</v>
      </c>
      <c r="L19" s="187">
        <f>L18-F18</f>
        <v>-2859.165500000003</v>
      </c>
    </row>
    <row r="20" spans="1:11" ht="12.75">
      <c r="A20" s="177"/>
      <c r="B20" s="178" t="s">
        <v>38</v>
      </c>
      <c r="C20" s="174"/>
      <c r="D20" s="208"/>
      <c r="E20" s="208">
        <f t="shared" si="2"/>
        <v>0</v>
      </c>
      <c r="F20" s="208"/>
      <c r="G20" s="209"/>
      <c r="H20" s="208"/>
      <c r="I20" s="208"/>
      <c r="J20" s="221"/>
      <c r="K20" s="240"/>
    </row>
    <row r="21" spans="1:11" ht="24" customHeight="1">
      <c r="A21" s="177" t="s">
        <v>25</v>
      </c>
      <c r="B21" s="181" t="s">
        <v>48</v>
      </c>
      <c r="C21" s="174" t="s">
        <v>20</v>
      </c>
      <c r="D21" s="208">
        <f>'Проезд '!D23+Маневры!D23</f>
        <v>104982.8</v>
      </c>
      <c r="E21" s="208">
        <f t="shared" si="2"/>
        <v>78737.1</v>
      </c>
      <c r="F21" s="208">
        <v>104982.9</v>
      </c>
      <c r="G21" s="208">
        <f>F21*0.75</f>
        <v>78737.17499999999</v>
      </c>
      <c r="H21" s="208">
        <f t="shared" si="3"/>
        <v>26245.725000000006</v>
      </c>
      <c r="I21" s="208">
        <f>F21-D21</f>
        <v>0.09999999999126885</v>
      </c>
      <c r="J21" s="221">
        <f t="shared" si="0"/>
        <v>9.525369869280383E-05</v>
      </c>
      <c r="K21" s="240">
        <f t="shared" si="1"/>
        <v>0.03333333333042295</v>
      </c>
    </row>
    <row r="22" spans="1:11" ht="12" customHeight="1">
      <c r="A22" s="185" t="s">
        <v>0</v>
      </c>
      <c r="B22" s="179" t="s">
        <v>1</v>
      </c>
      <c r="C22" s="180" t="s">
        <v>20</v>
      </c>
      <c r="D22" s="207">
        <f>D24+D25+D26+D27+D28+D29+D30+D31</f>
        <v>24566.399999999998</v>
      </c>
      <c r="E22" s="207">
        <f t="shared" si="2"/>
        <v>18424.8</v>
      </c>
      <c r="F22" s="207">
        <f>F24+F25+F26+F27+F28+F29+F30+F31</f>
        <v>24100.5</v>
      </c>
      <c r="G22" s="207">
        <f>G24+G25+G26+G27+G28+G29+G30+G31</f>
        <v>18075.375</v>
      </c>
      <c r="H22" s="207">
        <f t="shared" si="3"/>
        <v>6025.125</v>
      </c>
      <c r="I22" s="207">
        <f>I24+I25+I26+I27+I28+I29+I30+I31</f>
        <v>-465.8999999999994</v>
      </c>
      <c r="J22" s="220">
        <f t="shared" si="0"/>
        <v>-1.8964927706135188</v>
      </c>
      <c r="K22" s="239">
        <f t="shared" si="1"/>
        <v>-155.2999999999998</v>
      </c>
    </row>
    <row r="23" spans="1:11" ht="12" customHeight="1">
      <c r="A23" s="177"/>
      <c r="B23" s="178" t="s">
        <v>38</v>
      </c>
      <c r="C23" s="174"/>
      <c r="D23" s="208"/>
      <c r="E23" s="208">
        <f t="shared" si="2"/>
        <v>0</v>
      </c>
      <c r="F23" s="208"/>
      <c r="G23" s="209"/>
      <c r="H23" s="208"/>
      <c r="I23" s="208"/>
      <c r="J23" s="221"/>
      <c r="K23" s="240">
        <f t="shared" si="1"/>
        <v>0</v>
      </c>
    </row>
    <row r="24" spans="1:12" ht="12" customHeight="1">
      <c r="A24" s="177" t="s">
        <v>49</v>
      </c>
      <c r="B24" s="181" t="s">
        <v>230</v>
      </c>
      <c r="C24" s="174" t="s">
        <v>20</v>
      </c>
      <c r="D24" s="208">
        <f>'Проезд '!D26+Маневры!D26</f>
        <v>404.3</v>
      </c>
      <c r="E24" s="208">
        <f t="shared" si="2"/>
        <v>303.225</v>
      </c>
      <c r="F24" s="208">
        <v>409.2</v>
      </c>
      <c r="G24" s="208">
        <f>F24*0.75</f>
        <v>306.9</v>
      </c>
      <c r="H24" s="208">
        <f t="shared" si="3"/>
        <v>102.30000000000001</v>
      </c>
      <c r="I24" s="208">
        <f>F24-D24</f>
        <v>4.899999999999977</v>
      </c>
      <c r="J24" s="221">
        <f t="shared" si="0"/>
        <v>1.2119713084343253</v>
      </c>
      <c r="K24" s="240">
        <f t="shared" si="1"/>
        <v>1.6333333333333258</v>
      </c>
      <c r="L24" s="175">
        <f>D24*0.955</f>
        <v>386.1065</v>
      </c>
    </row>
    <row r="25" spans="1:12" ht="12" customHeight="1">
      <c r="A25" s="177" t="s">
        <v>50</v>
      </c>
      <c r="B25" s="181" t="s">
        <v>231</v>
      </c>
      <c r="C25" s="174" t="s">
        <v>20</v>
      </c>
      <c r="D25" s="208">
        <f>'Проезд '!D27+Маневры!D27</f>
        <v>13191.7</v>
      </c>
      <c r="E25" s="208">
        <f t="shared" si="2"/>
        <v>9893.775000000001</v>
      </c>
      <c r="F25" s="208">
        <v>12940.2</v>
      </c>
      <c r="G25" s="208">
        <f aca="true" t="shared" si="4" ref="G25:G31">F25*0.75</f>
        <v>9705.150000000001</v>
      </c>
      <c r="H25" s="208">
        <f t="shared" si="3"/>
        <v>3235.0499999999993</v>
      </c>
      <c r="I25" s="208">
        <f aca="true" t="shared" si="5" ref="I25:I31">F25-D25</f>
        <v>-251.5</v>
      </c>
      <c r="J25" s="221">
        <f t="shared" si="0"/>
        <v>-1.906501815535526</v>
      </c>
      <c r="K25" s="240">
        <f t="shared" si="1"/>
        <v>-83.83333333333333</v>
      </c>
      <c r="L25" s="187">
        <f>L24-F24</f>
        <v>-23.093500000000006</v>
      </c>
    </row>
    <row r="26" spans="1:11" ht="12" customHeight="1">
      <c r="A26" s="177" t="s">
        <v>51</v>
      </c>
      <c r="B26" s="181" t="s">
        <v>273</v>
      </c>
      <c r="C26" s="174" t="s">
        <v>20</v>
      </c>
      <c r="D26" s="208">
        <f>'Проезд '!D28+Маневры!D28</f>
        <v>492.29999999999995</v>
      </c>
      <c r="E26" s="208">
        <f t="shared" si="2"/>
        <v>369.22499999999997</v>
      </c>
      <c r="F26" s="208">
        <v>492.3</v>
      </c>
      <c r="G26" s="208">
        <f t="shared" si="4"/>
        <v>369.225</v>
      </c>
      <c r="H26" s="208">
        <f t="shared" si="3"/>
        <v>123.07499999999999</v>
      </c>
      <c r="I26" s="208">
        <f t="shared" si="5"/>
        <v>0</v>
      </c>
      <c r="J26" s="221">
        <f t="shared" si="0"/>
        <v>0</v>
      </c>
      <c r="K26" s="240">
        <f t="shared" si="1"/>
        <v>0</v>
      </c>
    </row>
    <row r="27" spans="1:11" ht="12" customHeight="1">
      <c r="A27" s="177" t="s">
        <v>52</v>
      </c>
      <c r="B27" s="181" t="s">
        <v>292</v>
      </c>
      <c r="C27" s="174" t="s">
        <v>20</v>
      </c>
      <c r="D27" s="208">
        <f>'Проезд '!D29+Маневры!D29</f>
        <v>5343.5</v>
      </c>
      <c r="E27" s="208">
        <f t="shared" si="2"/>
        <v>4007.625</v>
      </c>
      <c r="F27" s="208">
        <v>5144.8</v>
      </c>
      <c r="G27" s="208">
        <f t="shared" si="4"/>
        <v>3858.6000000000004</v>
      </c>
      <c r="H27" s="208">
        <f t="shared" si="3"/>
        <v>1286.1999999999998</v>
      </c>
      <c r="I27" s="208">
        <f t="shared" si="5"/>
        <v>-198.69999999999982</v>
      </c>
      <c r="J27" s="221">
        <f t="shared" si="0"/>
        <v>-3.7185365397211534</v>
      </c>
      <c r="K27" s="240">
        <f t="shared" si="1"/>
        <v>-66.23333333333328</v>
      </c>
    </row>
    <row r="28" spans="1:11" ht="12" customHeight="1">
      <c r="A28" s="177" t="s">
        <v>53</v>
      </c>
      <c r="B28" s="181" t="s">
        <v>234</v>
      </c>
      <c r="C28" s="174" t="s">
        <v>20</v>
      </c>
      <c r="D28" s="208">
        <f>'Проезд '!D30+Маневры!D30</f>
        <v>509.29999999999995</v>
      </c>
      <c r="E28" s="208">
        <f t="shared" si="2"/>
        <v>381.97499999999997</v>
      </c>
      <c r="F28" s="208">
        <f>410.9+79</f>
        <v>489.9</v>
      </c>
      <c r="G28" s="208">
        <f t="shared" si="4"/>
        <v>367.42499999999995</v>
      </c>
      <c r="H28" s="208">
        <f t="shared" si="3"/>
        <v>122.47500000000002</v>
      </c>
      <c r="I28" s="208">
        <f t="shared" si="5"/>
        <v>-19.399999999999977</v>
      </c>
      <c r="J28" s="221">
        <f t="shared" si="0"/>
        <v>-3.809149813469464</v>
      </c>
      <c r="K28" s="240">
        <f t="shared" si="1"/>
        <v>-6.466666666666659</v>
      </c>
    </row>
    <row r="29" spans="1:11" ht="12" customHeight="1">
      <c r="A29" s="177" t="s">
        <v>54</v>
      </c>
      <c r="B29" s="181" t="s">
        <v>235</v>
      </c>
      <c r="C29" s="174" t="s">
        <v>20</v>
      </c>
      <c r="D29" s="208">
        <f>'Проезд '!D31+Маневры!D31</f>
        <v>175.6</v>
      </c>
      <c r="E29" s="208">
        <f t="shared" si="2"/>
        <v>131.7</v>
      </c>
      <c r="F29" s="208">
        <v>173.8</v>
      </c>
      <c r="G29" s="208">
        <f t="shared" si="4"/>
        <v>130.35000000000002</v>
      </c>
      <c r="H29" s="208">
        <f t="shared" si="3"/>
        <v>43.44999999999999</v>
      </c>
      <c r="I29" s="208">
        <f t="shared" si="5"/>
        <v>-1.799999999999983</v>
      </c>
      <c r="J29" s="221">
        <f t="shared" si="0"/>
        <v>-1.0250569476081908</v>
      </c>
      <c r="K29" s="240">
        <f t="shared" si="1"/>
        <v>-0.5999999999999943</v>
      </c>
    </row>
    <row r="30" spans="1:11" ht="12" customHeight="1">
      <c r="A30" s="177" t="s">
        <v>55</v>
      </c>
      <c r="B30" s="181" t="s">
        <v>236</v>
      </c>
      <c r="C30" s="174" t="s">
        <v>20</v>
      </c>
      <c r="D30" s="208">
        <f>'Проезд '!D32+Маневры!D32</f>
        <v>30</v>
      </c>
      <c r="E30" s="208">
        <f t="shared" si="2"/>
        <v>22.5</v>
      </c>
      <c r="F30" s="208">
        <v>30</v>
      </c>
      <c r="G30" s="208">
        <f t="shared" si="4"/>
        <v>22.5</v>
      </c>
      <c r="H30" s="208">
        <f t="shared" si="3"/>
        <v>7.5</v>
      </c>
      <c r="I30" s="208">
        <f t="shared" si="5"/>
        <v>0</v>
      </c>
      <c r="J30" s="221">
        <f t="shared" si="0"/>
        <v>0</v>
      </c>
      <c r="K30" s="240">
        <f t="shared" si="1"/>
        <v>0</v>
      </c>
    </row>
    <row r="31" spans="1:11" ht="12" customHeight="1" thickBot="1">
      <c r="A31" s="197" t="s">
        <v>56</v>
      </c>
      <c r="B31" s="194" t="s">
        <v>237</v>
      </c>
      <c r="C31" s="196" t="s">
        <v>20</v>
      </c>
      <c r="D31" s="214">
        <f>'Проезд '!D33+Маневры!D33</f>
        <v>4419.7</v>
      </c>
      <c r="E31" s="214">
        <f t="shared" si="2"/>
        <v>3314.775</v>
      </c>
      <c r="F31" s="214">
        <v>4420.3</v>
      </c>
      <c r="G31" s="214">
        <f t="shared" si="4"/>
        <v>3315.2250000000004</v>
      </c>
      <c r="H31" s="214">
        <f t="shared" si="3"/>
        <v>1105.0749999999998</v>
      </c>
      <c r="I31" s="214">
        <f t="shared" si="5"/>
        <v>0.6000000000003638</v>
      </c>
      <c r="J31" s="223">
        <f t="shared" si="0"/>
        <v>0.013575582053088758</v>
      </c>
      <c r="K31" s="241">
        <f t="shared" si="1"/>
        <v>0.20000000000012128</v>
      </c>
    </row>
    <row r="32" spans="1:11" ht="12" customHeight="1">
      <c r="A32" s="182" t="s">
        <v>3</v>
      </c>
      <c r="B32" s="183" t="s">
        <v>4</v>
      </c>
      <c r="C32" s="184" t="s">
        <v>20</v>
      </c>
      <c r="D32" s="218">
        <f aca="true" t="shared" si="6" ref="D32:I32">D33+D61</f>
        <v>234569.2</v>
      </c>
      <c r="E32" s="218">
        <f t="shared" si="2"/>
        <v>175926.90000000002</v>
      </c>
      <c r="F32" s="218">
        <f>F33+F61</f>
        <v>225419.30000000002</v>
      </c>
      <c r="G32" s="218">
        <f t="shared" si="6"/>
        <v>169064.475</v>
      </c>
      <c r="H32" s="218">
        <f t="shared" si="6"/>
        <v>56354.825</v>
      </c>
      <c r="I32" s="218">
        <f t="shared" si="6"/>
        <v>-9149.899999999996</v>
      </c>
      <c r="J32" s="219">
        <f t="shared" si="0"/>
        <v>-3.900725244405487</v>
      </c>
      <c r="K32" s="238">
        <f t="shared" si="1"/>
        <v>-3049.9666666666653</v>
      </c>
    </row>
    <row r="33" spans="1:11" ht="12" customHeight="1">
      <c r="A33" s="185">
        <v>6</v>
      </c>
      <c r="B33" s="179" t="s">
        <v>5</v>
      </c>
      <c r="C33" s="180" t="s">
        <v>20</v>
      </c>
      <c r="D33" s="207">
        <f aca="true" t="shared" si="7" ref="D33:I33">D35+D36+D37+D38+D39+D40+D48+D49+D50+D51+D52</f>
        <v>107887.2</v>
      </c>
      <c r="E33" s="207">
        <f t="shared" si="2"/>
        <v>80915.40000000001</v>
      </c>
      <c r="F33" s="207">
        <f>F35+F36+F37+F38+F39+F40+F48+F49+F50+F51+F52</f>
        <v>106738.20000000001</v>
      </c>
      <c r="G33" s="207">
        <f t="shared" si="7"/>
        <v>80053.65</v>
      </c>
      <c r="H33" s="207">
        <f t="shared" si="7"/>
        <v>26684.550000000003</v>
      </c>
      <c r="I33" s="207">
        <f t="shared" si="7"/>
        <v>-1149.000000000002</v>
      </c>
      <c r="J33" s="220">
        <f t="shared" si="0"/>
        <v>-1.065001223500102</v>
      </c>
      <c r="K33" s="239">
        <f t="shared" si="1"/>
        <v>-383.0000000000007</v>
      </c>
    </row>
    <row r="34" spans="1:11" ht="12" customHeight="1">
      <c r="A34" s="177"/>
      <c r="B34" s="181" t="s">
        <v>38</v>
      </c>
      <c r="C34" s="174"/>
      <c r="D34" s="208"/>
      <c r="E34" s="207">
        <f t="shared" si="2"/>
        <v>0</v>
      </c>
      <c r="F34" s="208"/>
      <c r="G34" s="209"/>
      <c r="H34" s="208"/>
      <c r="I34" s="208"/>
      <c r="J34" s="221"/>
      <c r="K34" s="239"/>
    </row>
    <row r="35" spans="1:11" s="187" customFormat="1" ht="12" customHeight="1">
      <c r="A35" s="185" t="s">
        <v>26</v>
      </c>
      <c r="B35" s="179" t="s">
        <v>238</v>
      </c>
      <c r="C35" s="180" t="s">
        <v>20</v>
      </c>
      <c r="D35" s="207">
        <f>'Проезд '!D37+Маневры!D37</f>
        <v>27837.1</v>
      </c>
      <c r="E35" s="207">
        <f t="shared" si="2"/>
        <v>20877.824999999997</v>
      </c>
      <c r="F35" s="207">
        <v>30530.8</v>
      </c>
      <c r="G35" s="207">
        <f>F35*0.75</f>
        <v>22898.1</v>
      </c>
      <c r="H35" s="207">
        <f t="shared" si="3"/>
        <v>7632.700000000001</v>
      </c>
      <c r="I35" s="207">
        <f>F35-D35</f>
        <v>2693.7000000000007</v>
      </c>
      <c r="J35" s="220">
        <f t="shared" si="0"/>
        <v>9.6766545365717</v>
      </c>
      <c r="K35" s="239">
        <f t="shared" si="1"/>
        <v>897.9000000000002</v>
      </c>
    </row>
    <row r="36" spans="1:11" s="187" customFormat="1" ht="12" customHeight="1">
      <c r="A36" s="185" t="s">
        <v>27</v>
      </c>
      <c r="B36" s="179" t="s">
        <v>227</v>
      </c>
      <c r="C36" s="180" t="s">
        <v>20</v>
      </c>
      <c r="D36" s="207">
        <f>'Проезд '!D38+Маневры!D38</f>
        <v>2380</v>
      </c>
      <c r="E36" s="207">
        <f t="shared" si="2"/>
        <v>1785</v>
      </c>
      <c r="F36" s="207">
        <v>2763.5</v>
      </c>
      <c r="G36" s="207">
        <f>F36*0.75</f>
        <v>2072.625</v>
      </c>
      <c r="H36" s="207">
        <f t="shared" si="3"/>
        <v>690.875</v>
      </c>
      <c r="I36" s="207">
        <f>F36-D36</f>
        <v>383.5</v>
      </c>
      <c r="J36" s="220">
        <f t="shared" si="0"/>
        <v>16.113445378151262</v>
      </c>
      <c r="K36" s="239">
        <f t="shared" si="1"/>
        <v>127.83333333333333</v>
      </c>
    </row>
    <row r="37" spans="1:11" s="187" customFormat="1" ht="12" customHeight="1">
      <c r="A37" s="185" t="s">
        <v>28</v>
      </c>
      <c r="B37" s="179" t="s">
        <v>229</v>
      </c>
      <c r="C37" s="180" t="s">
        <v>20</v>
      </c>
      <c r="D37" s="207">
        <f>'Проезд '!D39+Маневры!D39</f>
        <v>417.5</v>
      </c>
      <c r="E37" s="207">
        <f t="shared" si="2"/>
        <v>313.125</v>
      </c>
      <c r="F37" s="207">
        <v>410.5</v>
      </c>
      <c r="G37" s="207">
        <f>F37*0.75</f>
        <v>307.875</v>
      </c>
      <c r="H37" s="207">
        <f t="shared" si="3"/>
        <v>102.625</v>
      </c>
      <c r="I37" s="207">
        <f>F37-D37</f>
        <v>-7</v>
      </c>
      <c r="J37" s="220">
        <f t="shared" si="0"/>
        <v>-1.6766467065868262</v>
      </c>
      <c r="K37" s="239">
        <f t="shared" si="1"/>
        <v>-2.3333333333333335</v>
      </c>
    </row>
    <row r="38" spans="1:11" s="187" customFormat="1" ht="13.5" customHeight="1">
      <c r="A38" s="185" t="s">
        <v>29</v>
      </c>
      <c r="B38" s="179" t="s">
        <v>288</v>
      </c>
      <c r="C38" s="180" t="s">
        <v>20</v>
      </c>
      <c r="D38" s="207">
        <f>'Проезд '!D40+Маневры!D40</f>
        <v>960.5999999999999</v>
      </c>
      <c r="E38" s="207">
        <f t="shared" si="2"/>
        <v>720.4499999999999</v>
      </c>
      <c r="F38" s="207">
        <v>1295.7</v>
      </c>
      <c r="G38" s="207">
        <f>F38*0.75</f>
        <v>971.7750000000001</v>
      </c>
      <c r="H38" s="207">
        <f t="shared" si="3"/>
        <v>323.92499999999995</v>
      </c>
      <c r="I38" s="207">
        <f>F38-D38</f>
        <v>335.10000000000014</v>
      </c>
      <c r="J38" s="220">
        <f t="shared" si="0"/>
        <v>34.88444722048721</v>
      </c>
      <c r="K38" s="239">
        <f t="shared" si="1"/>
        <v>111.70000000000005</v>
      </c>
    </row>
    <row r="39" spans="1:11" s="187" customFormat="1" ht="14.25" customHeight="1">
      <c r="A39" s="185" t="s">
        <v>30</v>
      </c>
      <c r="B39" s="179" t="s">
        <v>241</v>
      </c>
      <c r="C39" s="180" t="s">
        <v>20</v>
      </c>
      <c r="D39" s="207">
        <f>'Проезд '!D41+Маневры!D41</f>
        <v>133.2</v>
      </c>
      <c r="E39" s="207">
        <f t="shared" si="2"/>
        <v>99.89999999999999</v>
      </c>
      <c r="F39" s="207">
        <v>127.9</v>
      </c>
      <c r="G39" s="207">
        <f>F39*0.75</f>
        <v>95.92500000000001</v>
      </c>
      <c r="H39" s="207">
        <f t="shared" si="3"/>
        <v>31.974999999999994</v>
      </c>
      <c r="I39" s="207">
        <f>F39-D39</f>
        <v>-5.299999999999983</v>
      </c>
      <c r="J39" s="220">
        <f t="shared" si="0"/>
        <v>-3.9789789789789665</v>
      </c>
      <c r="K39" s="239">
        <f t="shared" si="1"/>
        <v>-1.766666666666661</v>
      </c>
    </row>
    <row r="40" spans="1:11" s="187" customFormat="1" ht="14.25" customHeight="1">
      <c r="A40" s="185" t="s">
        <v>31</v>
      </c>
      <c r="B40" s="179" t="s">
        <v>240</v>
      </c>
      <c r="C40" s="180" t="s">
        <v>20</v>
      </c>
      <c r="D40" s="207">
        <f>D42+D43+D44+D45+D46+D47</f>
        <v>7229.1</v>
      </c>
      <c r="E40" s="207">
        <f t="shared" si="2"/>
        <v>5421.825000000001</v>
      </c>
      <c r="F40" s="207">
        <f>F42+F43+F44+F45+F46+F47</f>
        <v>7497.5</v>
      </c>
      <c r="G40" s="207">
        <f>G42+G43+G44+G45+G46+G47</f>
        <v>5623.125</v>
      </c>
      <c r="H40" s="207">
        <f t="shared" si="3"/>
        <v>1874.375</v>
      </c>
      <c r="I40" s="207">
        <f>I42+I43+I44+I45+I46+I47</f>
        <v>268.39999999999947</v>
      </c>
      <c r="J40" s="220">
        <f t="shared" si="0"/>
        <v>3.712771990980889</v>
      </c>
      <c r="K40" s="239">
        <f t="shared" si="1"/>
        <v>89.46666666666648</v>
      </c>
    </row>
    <row r="41" spans="1:11" ht="12.75">
      <c r="A41" s="177"/>
      <c r="B41" s="178" t="s">
        <v>38</v>
      </c>
      <c r="C41" s="174"/>
      <c r="D41" s="208"/>
      <c r="E41" s="208">
        <f t="shared" si="2"/>
        <v>0</v>
      </c>
      <c r="F41" s="208"/>
      <c r="G41" s="209"/>
      <c r="H41" s="208"/>
      <c r="I41" s="208"/>
      <c r="J41" s="221"/>
      <c r="K41" s="240"/>
    </row>
    <row r="42" spans="1:11" ht="24" customHeight="1">
      <c r="A42" s="177" t="s">
        <v>242</v>
      </c>
      <c r="B42" s="178" t="s">
        <v>280</v>
      </c>
      <c r="C42" s="174" t="s">
        <v>20</v>
      </c>
      <c r="D42" s="208">
        <f>'Проезд '!D44+Маневры!D44</f>
        <v>5475.200000000001</v>
      </c>
      <c r="E42" s="208">
        <f t="shared" si="2"/>
        <v>4106.400000000001</v>
      </c>
      <c r="F42" s="208">
        <v>5428.3</v>
      </c>
      <c r="G42" s="208">
        <f>F42*0.75</f>
        <v>4071.2250000000004</v>
      </c>
      <c r="H42" s="208">
        <f t="shared" si="3"/>
        <v>1357.0749999999998</v>
      </c>
      <c r="I42" s="208">
        <f>F42-D42</f>
        <v>-46.900000000000546</v>
      </c>
      <c r="J42" s="221">
        <f t="shared" si="0"/>
        <v>-0.8565897136177771</v>
      </c>
      <c r="K42" s="240">
        <f t="shared" si="1"/>
        <v>-15.633333333333516</v>
      </c>
    </row>
    <row r="43" spans="1:11" ht="13.5" customHeight="1">
      <c r="A43" s="177" t="s">
        <v>243</v>
      </c>
      <c r="B43" s="178" t="s">
        <v>281</v>
      </c>
      <c r="C43" s="174" t="s">
        <v>20</v>
      </c>
      <c r="D43" s="208">
        <f>'Проезд '!D45+Маневры!D45</f>
        <v>590.4</v>
      </c>
      <c r="E43" s="208"/>
      <c r="F43" s="208">
        <v>815.1</v>
      </c>
      <c r="G43" s="208">
        <f aca="true" t="shared" si="8" ref="G43:G51">F43*0.75</f>
        <v>611.325</v>
      </c>
      <c r="H43" s="208">
        <f t="shared" si="3"/>
        <v>203.77499999999998</v>
      </c>
      <c r="I43" s="208">
        <f aca="true" t="shared" si="9" ref="I43:I51">F43-D43</f>
        <v>224.70000000000005</v>
      </c>
      <c r="J43" s="221">
        <f t="shared" si="0"/>
        <v>38.058943089430905</v>
      </c>
      <c r="K43" s="240">
        <f t="shared" si="1"/>
        <v>74.90000000000002</v>
      </c>
    </row>
    <row r="44" spans="1:11" ht="13.5" customHeight="1">
      <c r="A44" s="177" t="s">
        <v>244</v>
      </c>
      <c r="B44" s="178" t="s">
        <v>282</v>
      </c>
      <c r="C44" s="174" t="s">
        <v>20</v>
      </c>
      <c r="D44" s="208">
        <f>'Проезд '!D46+Маневры!D46</f>
        <v>103.7</v>
      </c>
      <c r="E44" s="208">
        <f t="shared" si="2"/>
        <v>77.775</v>
      </c>
      <c r="F44" s="208">
        <v>100.4</v>
      </c>
      <c r="G44" s="208">
        <f t="shared" si="8"/>
        <v>75.30000000000001</v>
      </c>
      <c r="H44" s="208">
        <f t="shared" si="3"/>
        <v>25.099999999999994</v>
      </c>
      <c r="I44" s="208">
        <f t="shared" si="9"/>
        <v>-3.299999999999997</v>
      </c>
      <c r="J44" s="221">
        <f t="shared" si="0"/>
        <v>-3.1822565091610384</v>
      </c>
      <c r="K44" s="240">
        <f t="shared" si="1"/>
        <v>-1.099999999999999</v>
      </c>
    </row>
    <row r="45" spans="1:11" ht="13.5" customHeight="1">
      <c r="A45" s="177" t="s">
        <v>245</v>
      </c>
      <c r="B45" s="178" t="s">
        <v>283</v>
      </c>
      <c r="C45" s="174" t="s">
        <v>20</v>
      </c>
      <c r="D45" s="208">
        <f>'Проезд '!D47+Маневры!D47</f>
        <v>378.3</v>
      </c>
      <c r="E45" s="208">
        <f t="shared" si="2"/>
        <v>283.725</v>
      </c>
      <c r="F45" s="208">
        <v>375.2</v>
      </c>
      <c r="G45" s="208">
        <f t="shared" si="8"/>
        <v>281.4</v>
      </c>
      <c r="H45" s="208">
        <f t="shared" si="3"/>
        <v>93.80000000000001</v>
      </c>
      <c r="I45" s="208">
        <f t="shared" si="9"/>
        <v>-3.1000000000000227</v>
      </c>
      <c r="J45" s="221">
        <f t="shared" si="0"/>
        <v>-0.8194554586307223</v>
      </c>
      <c r="K45" s="240">
        <f t="shared" si="1"/>
        <v>-1.033333333333341</v>
      </c>
    </row>
    <row r="46" spans="1:11" ht="25.5" customHeight="1">
      <c r="A46" s="177" t="s">
        <v>246</v>
      </c>
      <c r="B46" s="178" t="s">
        <v>284</v>
      </c>
      <c r="C46" s="174" t="s">
        <v>20</v>
      </c>
      <c r="D46" s="208">
        <f>'Проезд '!D48+Маневры!D48</f>
        <v>268</v>
      </c>
      <c r="E46" s="208">
        <f t="shared" si="2"/>
        <v>201</v>
      </c>
      <c r="F46" s="208">
        <v>269.3</v>
      </c>
      <c r="G46" s="208">
        <f t="shared" si="8"/>
        <v>201.97500000000002</v>
      </c>
      <c r="H46" s="208">
        <f t="shared" si="3"/>
        <v>67.32499999999999</v>
      </c>
      <c r="I46" s="208">
        <f t="shared" si="9"/>
        <v>1.3000000000000114</v>
      </c>
      <c r="J46" s="221">
        <f t="shared" si="0"/>
        <v>0.4850746268656759</v>
      </c>
      <c r="K46" s="240">
        <f t="shared" si="1"/>
        <v>0.4333333333333371</v>
      </c>
    </row>
    <row r="47" spans="1:11" ht="24.75" customHeight="1">
      <c r="A47" s="177" t="s">
        <v>247</v>
      </c>
      <c r="B47" s="178" t="s">
        <v>285</v>
      </c>
      <c r="C47" s="174" t="s">
        <v>20</v>
      </c>
      <c r="D47" s="208">
        <f>'Проезд '!D49+Маневры!D49</f>
        <v>413.5</v>
      </c>
      <c r="E47" s="208">
        <f t="shared" si="2"/>
        <v>310.125</v>
      </c>
      <c r="F47" s="208">
        <v>509.2</v>
      </c>
      <c r="G47" s="208">
        <f t="shared" si="8"/>
        <v>381.9</v>
      </c>
      <c r="H47" s="208">
        <f t="shared" si="3"/>
        <v>127.30000000000001</v>
      </c>
      <c r="I47" s="208">
        <f t="shared" si="9"/>
        <v>95.69999999999999</v>
      </c>
      <c r="J47" s="221">
        <f t="shared" si="0"/>
        <v>23.14389359129383</v>
      </c>
      <c r="K47" s="240">
        <f t="shared" si="1"/>
        <v>31.899999999999995</v>
      </c>
    </row>
    <row r="48" spans="1:11" s="187" customFormat="1" ht="14.25" customHeight="1">
      <c r="A48" s="185" t="s">
        <v>32</v>
      </c>
      <c r="B48" s="179" t="s">
        <v>248</v>
      </c>
      <c r="C48" s="180" t="s">
        <v>20</v>
      </c>
      <c r="D48" s="207">
        <f>'Проезд '!D50+Маневры!D50</f>
        <v>605.8</v>
      </c>
      <c r="E48" s="207">
        <f t="shared" si="2"/>
        <v>454.34999999999997</v>
      </c>
      <c r="F48" s="207">
        <v>651.4</v>
      </c>
      <c r="G48" s="207">
        <f t="shared" si="8"/>
        <v>488.54999999999995</v>
      </c>
      <c r="H48" s="207">
        <f t="shared" si="3"/>
        <v>162.85000000000002</v>
      </c>
      <c r="I48" s="207">
        <f t="shared" si="9"/>
        <v>45.60000000000002</v>
      </c>
      <c r="J48" s="220">
        <f t="shared" si="0"/>
        <v>7.527236711786073</v>
      </c>
      <c r="K48" s="239">
        <f t="shared" si="1"/>
        <v>15.200000000000008</v>
      </c>
    </row>
    <row r="49" spans="1:11" s="187" customFormat="1" ht="12.75">
      <c r="A49" s="185" t="s">
        <v>33</v>
      </c>
      <c r="B49" s="179" t="s">
        <v>230</v>
      </c>
      <c r="C49" s="180" t="s">
        <v>20</v>
      </c>
      <c r="D49" s="207">
        <f>'Проезд '!D51+Маневры!D51</f>
        <v>739.0999999999999</v>
      </c>
      <c r="E49" s="207">
        <f t="shared" si="2"/>
        <v>554.3249999999999</v>
      </c>
      <c r="F49" s="207">
        <v>705.7</v>
      </c>
      <c r="G49" s="207">
        <f t="shared" si="8"/>
        <v>529.2750000000001</v>
      </c>
      <c r="H49" s="207">
        <f t="shared" si="3"/>
        <v>176.42499999999995</v>
      </c>
      <c r="I49" s="207">
        <f t="shared" si="9"/>
        <v>-33.399999999999864</v>
      </c>
      <c r="J49" s="220">
        <f t="shared" si="0"/>
        <v>-4.519009606277888</v>
      </c>
      <c r="K49" s="239">
        <f t="shared" si="1"/>
        <v>-11.133333333333288</v>
      </c>
    </row>
    <row r="50" spans="1:12" s="187" customFormat="1" ht="18" customHeight="1">
      <c r="A50" s="185" t="s">
        <v>37</v>
      </c>
      <c r="B50" s="179" t="s">
        <v>250</v>
      </c>
      <c r="C50" s="180" t="s">
        <v>20</v>
      </c>
      <c r="D50" s="207">
        <f>'Проезд '!D52+Маневры!D52</f>
        <v>44419.5</v>
      </c>
      <c r="E50" s="207">
        <f t="shared" si="2"/>
        <v>33314.625</v>
      </c>
      <c r="F50" s="207">
        <v>40079.1</v>
      </c>
      <c r="G50" s="207">
        <f t="shared" si="8"/>
        <v>30059.324999999997</v>
      </c>
      <c r="H50" s="207">
        <f t="shared" si="3"/>
        <v>10019.775000000001</v>
      </c>
      <c r="I50" s="207">
        <f t="shared" si="9"/>
        <v>-4340.4000000000015</v>
      </c>
      <c r="J50" s="220">
        <f t="shared" si="0"/>
        <v>-9.77138418937629</v>
      </c>
      <c r="K50" s="239">
        <f t="shared" si="1"/>
        <v>-1446.8000000000004</v>
      </c>
      <c r="L50" s="187">
        <f>D50*0.955</f>
        <v>42420.6225</v>
      </c>
    </row>
    <row r="51" spans="1:12" s="187" customFormat="1" ht="13.5" customHeight="1">
      <c r="A51" s="185" t="s">
        <v>249</v>
      </c>
      <c r="B51" s="179" t="s">
        <v>58</v>
      </c>
      <c r="C51" s="180" t="s">
        <v>20</v>
      </c>
      <c r="D51" s="207">
        <f>'Проезд '!D53+Маневры!D53</f>
        <v>575.5</v>
      </c>
      <c r="E51" s="207">
        <f t="shared" si="2"/>
        <v>431.625</v>
      </c>
      <c r="F51" s="207">
        <v>570.1</v>
      </c>
      <c r="G51" s="207">
        <f t="shared" si="8"/>
        <v>427.57500000000005</v>
      </c>
      <c r="H51" s="207">
        <f t="shared" si="3"/>
        <v>142.52499999999998</v>
      </c>
      <c r="I51" s="207">
        <f t="shared" si="9"/>
        <v>-5.399999999999977</v>
      </c>
      <c r="J51" s="220">
        <f t="shared" si="0"/>
        <v>-0.9383145091224981</v>
      </c>
      <c r="K51" s="239">
        <f t="shared" si="1"/>
        <v>-1.7999999999999925</v>
      </c>
      <c r="L51" s="187">
        <f>L50-F50</f>
        <v>2341.522499999999</v>
      </c>
    </row>
    <row r="52" spans="1:11" s="187" customFormat="1" ht="18" customHeight="1">
      <c r="A52" s="185" t="s">
        <v>252</v>
      </c>
      <c r="B52" s="179" t="s">
        <v>251</v>
      </c>
      <c r="C52" s="180" t="s">
        <v>20</v>
      </c>
      <c r="D52" s="207">
        <f>D54+D55+D56+D57+D58+D59+D60</f>
        <v>22589.800000000003</v>
      </c>
      <c r="E52" s="207">
        <f t="shared" si="2"/>
        <v>16942.350000000002</v>
      </c>
      <c r="F52" s="207">
        <f>F54+F55+F56+F57+F58+F59+F60</f>
        <v>22106</v>
      </c>
      <c r="G52" s="207">
        <f>G54+G55+G56+G57+G58+G59+G60</f>
        <v>16579.5</v>
      </c>
      <c r="H52" s="207">
        <f t="shared" si="3"/>
        <v>5526.5</v>
      </c>
      <c r="I52" s="207">
        <f>I54+I55+I56+I57+I58+I59+I60</f>
        <v>-483.800000000001</v>
      </c>
      <c r="J52" s="220">
        <f t="shared" si="0"/>
        <v>-2.1416745610850954</v>
      </c>
      <c r="K52" s="239">
        <f t="shared" si="1"/>
        <v>-161.266666666667</v>
      </c>
    </row>
    <row r="53" spans="1:11" ht="9.75" customHeight="1">
      <c r="A53" s="177"/>
      <c r="B53" s="178" t="s">
        <v>38</v>
      </c>
      <c r="C53" s="174"/>
      <c r="D53" s="208"/>
      <c r="E53" s="208">
        <f t="shared" si="2"/>
        <v>0</v>
      </c>
      <c r="F53" s="208"/>
      <c r="G53" s="209"/>
      <c r="H53" s="208"/>
      <c r="I53" s="208"/>
      <c r="J53" s="221"/>
      <c r="K53" s="240"/>
    </row>
    <row r="54" spans="1:11" ht="13.5" customHeight="1">
      <c r="A54" s="177" t="s">
        <v>253</v>
      </c>
      <c r="B54" s="178" t="s">
        <v>35</v>
      </c>
      <c r="C54" s="174" t="s">
        <v>20</v>
      </c>
      <c r="D54" s="208">
        <f>'Проезд '!D56+Маневры!D56</f>
        <v>150.4</v>
      </c>
      <c r="E54" s="208">
        <f t="shared" si="2"/>
        <v>112.8</v>
      </c>
      <c r="F54" s="208">
        <v>145.2</v>
      </c>
      <c r="G54" s="208">
        <f>F54*0.75</f>
        <v>108.89999999999999</v>
      </c>
      <c r="H54" s="208">
        <f t="shared" si="3"/>
        <v>36.3</v>
      </c>
      <c r="I54" s="208">
        <f>F54-D54</f>
        <v>-5.200000000000017</v>
      </c>
      <c r="J54" s="221">
        <f t="shared" si="0"/>
        <v>-3.4574468085106496</v>
      </c>
      <c r="K54" s="240">
        <f t="shared" si="1"/>
        <v>-1.733333333333339</v>
      </c>
    </row>
    <row r="55" spans="1:11" ht="13.5" customHeight="1">
      <c r="A55" s="177" t="s">
        <v>254</v>
      </c>
      <c r="B55" s="178" t="s">
        <v>6</v>
      </c>
      <c r="C55" s="174" t="s">
        <v>20</v>
      </c>
      <c r="D55" s="208">
        <f>'Проезд '!D57+Маневры!D57</f>
        <v>26.7</v>
      </c>
      <c r="E55" s="208">
        <f t="shared" si="2"/>
        <v>20.025000000000002</v>
      </c>
      <c r="F55" s="208">
        <v>26.1</v>
      </c>
      <c r="G55" s="208">
        <f aca="true" t="shared" si="10" ref="G55:G61">F55*0.75</f>
        <v>19.575000000000003</v>
      </c>
      <c r="H55" s="208">
        <f t="shared" si="3"/>
        <v>6.524999999999999</v>
      </c>
      <c r="I55" s="208">
        <f aca="true" t="shared" si="11" ref="I55:I61">F55-D55</f>
        <v>-0.5999999999999979</v>
      </c>
      <c r="J55" s="221">
        <f t="shared" si="0"/>
        <v>-2.2471910112359472</v>
      </c>
      <c r="K55" s="240">
        <f t="shared" si="1"/>
        <v>-0.1999999999999993</v>
      </c>
    </row>
    <row r="56" spans="1:11" ht="13.5" customHeight="1">
      <c r="A56" s="177" t="s">
        <v>255</v>
      </c>
      <c r="B56" s="178" t="s">
        <v>34</v>
      </c>
      <c r="C56" s="174" t="s">
        <v>20</v>
      </c>
      <c r="D56" s="208">
        <f>'Проезд '!D58+Маневры!D58</f>
        <v>185.9</v>
      </c>
      <c r="E56" s="208">
        <f t="shared" si="2"/>
        <v>139.425</v>
      </c>
      <c r="F56" s="208">
        <v>180.9</v>
      </c>
      <c r="G56" s="208">
        <f t="shared" si="10"/>
        <v>135.675</v>
      </c>
      <c r="H56" s="208">
        <f t="shared" si="3"/>
        <v>45.224999999999994</v>
      </c>
      <c r="I56" s="208">
        <f t="shared" si="11"/>
        <v>-5</v>
      </c>
      <c r="J56" s="221">
        <f t="shared" si="0"/>
        <v>-2.6896180742334588</v>
      </c>
      <c r="K56" s="240">
        <f t="shared" si="1"/>
        <v>-1.6666666666666667</v>
      </c>
    </row>
    <row r="57" spans="1:11" ht="13.5" customHeight="1">
      <c r="A57" s="177" t="s">
        <v>256</v>
      </c>
      <c r="B57" s="178" t="s">
        <v>13</v>
      </c>
      <c r="C57" s="174" t="s">
        <v>20</v>
      </c>
      <c r="D57" s="208">
        <f>'Проезд '!D59+Маневры!D59</f>
        <v>443</v>
      </c>
      <c r="E57" s="208">
        <f t="shared" si="2"/>
        <v>332.25</v>
      </c>
      <c r="F57" s="208">
        <v>463.2</v>
      </c>
      <c r="G57" s="208">
        <f t="shared" si="10"/>
        <v>347.4</v>
      </c>
      <c r="H57" s="208">
        <f t="shared" si="3"/>
        <v>115.80000000000001</v>
      </c>
      <c r="I57" s="208">
        <f t="shared" si="11"/>
        <v>20.19999999999999</v>
      </c>
      <c r="J57" s="221">
        <f t="shared" si="0"/>
        <v>4.559819413092548</v>
      </c>
      <c r="K57" s="240">
        <f t="shared" si="1"/>
        <v>6.73333333333333</v>
      </c>
    </row>
    <row r="58" spans="1:11" ht="13.5" customHeight="1">
      <c r="A58" s="177" t="s">
        <v>257</v>
      </c>
      <c r="B58" s="178" t="s">
        <v>2</v>
      </c>
      <c r="C58" s="174" t="s">
        <v>20</v>
      </c>
      <c r="D58" s="208">
        <f>'Проезд '!D60+Маневры!D60</f>
        <v>15214</v>
      </c>
      <c r="E58" s="208">
        <f t="shared" si="2"/>
        <v>11410.5</v>
      </c>
      <c r="F58" s="208">
        <v>14758.9</v>
      </c>
      <c r="G58" s="208">
        <f t="shared" si="10"/>
        <v>11069.175</v>
      </c>
      <c r="H58" s="208">
        <f t="shared" si="3"/>
        <v>3689.7250000000004</v>
      </c>
      <c r="I58" s="208">
        <f t="shared" si="11"/>
        <v>-455.10000000000036</v>
      </c>
      <c r="J58" s="221">
        <f t="shared" si="0"/>
        <v>-2.9913237807282793</v>
      </c>
      <c r="K58" s="240">
        <f t="shared" si="1"/>
        <v>-151.70000000000013</v>
      </c>
    </row>
    <row r="59" spans="1:11" ht="13.5" customHeight="1">
      <c r="A59" s="177" t="s">
        <v>258</v>
      </c>
      <c r="B59" s="178" t="s">
        <v>14</v>
      </c>
      <c r="C59" s="174" t="s">
        <v>20</v>
      </c>
      <c r="D59" s="208">
        <f>'Проезд '!D61+Маневры!D61</f>
        <v>2035.2</v>
      </c>
      <c r="E59" s="208">
        <f t="shared" si="2"/>
        <v>1526.3999999999999</v>
      </c>
      <c r="F59" s="208">
        <v>1997</v>
      </c>
      <c r="G59" s="208">
        <f t="shared" si="10"/>
        <v>1497.75</v>
      </c>
      <c r="H59" s="208">
        <f t="shared" si="3"/>
        <v>499.25</v>
      </c>
      <c r="I59" s="208">
        <f t="shared" si="11"/>
        <v>-38.200000000000045</v>
      </c>
      <c r="J59" s="221">
        <f t="shared" si="0"/>
        <v>-1.8769654088050338</v>
      </c>
      <c r="K59" s="240">
        <f t="shared" si="1"/>
        <v>-12.733333333333348</v>
      </c>
    </row>
    <row r="60" spans="1:11" ht="13.5" customHeight="1">
      <c r="A60" s="177" t="s">
        <v>259</v>
      </c>
      <c r="B60" s="178" t="s">
        <v>293</v>
      </c>
      <c r="C60" s="174" t="s">
        <v>20</v>
      </c>
      <c r="D60" s="208">
        <f>'Проезд '!D62+Маневры!D62</f>
        <v>4534.6</v>
      </c>
      <c r="E60" s="208">
        <f t="shared" si="2"/>
        <v>3400.9500000000003</v>
      </c>
      <c r="F60" s="208">
        <v>4534.7</v>
      </c>
      <c r="G60" s="208">
        <f t="shared" si="10"/>
        <v>3401.0249999999996</v>
      </c>
      <c r="H60" s="208">
        <f t="shared" si="3"/>
        <v>1133.6750000000002</v>
      </c>
      <c r="I60" s="208">
        <f t="shared" si="11"/>
        <v>0.0999999999994543</v>
      </c>
      <c r="J60" s="221">
        <f t="shared" si="0"/>
        <v>0.002205266175615364</v>
      </c>
      <c r="K60" s="240">
        <f t="shared" si="1"/>
        <v>0.03333333333315144</v>
      </c>
    </row>
    <row r="61" spans="1:11" s="187" customFormat="1" ht="13.5" customHeight="1" thickBot="1">
      <c r="A61" s="254">
        <v>7</v>
      </c>
      <c r="B61" s="255" t="s">
        <v>7</v>
      </c>
      <c r="C61" s="256" t="s">
        <v>20</v>
      </c>
      <c r="D61" s="257">
        <f>'Проезд '!D63+Маневры!D63</f>
        <v>126682</v>
      </c>
      <c r="E61" s="257">
        <f t="shared" si="2"/>
        <v>95011.5</v>
      </c>
      <c r="F61" s="257">
        <v>118681.1</v>
      </c>
      <c r="G61" s="257">
        <f t="shared" si="10"/>
        <v>89010.82500000001</v>
      </c>
      <c r="H61" s="257">
        <f t="shared" si="3"/>
        <v>29670.274999999994</v>
      </c>
      <c r="I61" s="257">
        <f t="shared" si="11"/>
        <v>-8000.899999999994</v>
      </c>
      <c r="J61" s="258">
        <f t="shared" si="0"/>
        <v>-6.3157354636017695</v>
      </c>
      <c r="K61" s="242">
        <f t="shared" si="1"/>
        <v>-2666.966666666665</v>
      </c>
    </row>
    <row r="62" spans="1:11" ht="13.5" customHeight="1">
      <c r="A62" s="182" t="s">
        <v>8</v>
      </c>
      <c r="B62" s="183" t="s">
        <v>18</v>
      </c>
      <c r="C62" s="184" t="s">
        <v>20</v>
      </c>
      <c r="D62" s="218">
        <f aca="true" t="shared" si="12" ref="D62:I62">D4+D32</f>
        <v>728943.8</v>
      </c>
      <c r="E62" s="218">
        <f t="shared" si="2"/>
        <v>546707.8500000001</v>
      </c>
      <c r="F62" s="218">
        <f>F4+F32</f>
        <v>712010.9</v>
      </c>
      <c r="G62" s="218">
        <f t="shared" si="12"/>
        <v>534008.175</v>
      </c>
      <c r="H62" s="218">
        <f t="shared" si="12"/>
        <v>178002.725</v>
      </c>
      <c r="I62" s="218">
        <f t="shared" si="12"/>
        <v>-16932.899999999983</v>
      </c>
      <c r="J62" s="219">
        <f t="shared" si="0"/>
        <v>-2.322936281233201</v>
      </c>
      <c r="K62" s="238">
        <f t="shared" si="1"/>
        <v>-5644.299999999995</v>
      </c>
    </row>
    <row r="63" spans="1:11" ht="15.75" customHeight="1">
      <c r="A63" s="185" t="s">
        <v>9</v>
      </c>
      <c r="B63" s="179" t="s">
        <v>19</v>
      </c>
      <c r="C63" s="180" t="s">
        <v>20</v>
      </c>
      <c r="D63" s="207">
        <f>D64-D62</f>
        <v>188068.90000000002</v>
      </c>
      <c r="E63" s="207">
        <f t="shared" si="2"/>
        <v>141051.67500000002</v>
      </c>
      <c r="F63" s="207">
        <f>F64-F62</f>
        <v>216736.19999999995</v>
      </c>
      <c r="G63" s="207">
        <f>G64-G62</f>
        <v>162128.82499999995</v>
      </c>
      <c r="H63" s="207">
        <f>H64-H62</f>
        <v>54607.375</v>
      </c>
      <c r="I63" s="207">
        <f>I64-I62</f>
        <v>28667.29999999989</v>
      </c>
      <c r="J63" s="220">
        <f t="shared" si="0"/>
        <v>15.242977440714487</v>
      </c>
      <c r="K63" s="239">
        <f t="shared" si="1"/>
        <v>9555.76666666663</v>
      </c>
    </row>
    <row r="64" spans="1:11" ht="15" customHeight="1">
      <c r="A64" s="185" t="s">
        <v>10</v>
      </c>
      <c r="B64" s="179" t="s">
        <v>11</v>
      </c>
      <c r="C64" s="180" t="s">
        <v>20</v>
      </c>
      <c r="D64" s="207">
        <f>D65+D66</f>
        <v>917012.7000000001</v>
      </c>
      <c r="E64" s="207">
        <f t="shared" si="2"/>
        <v>687759.525</v>
      </c>
      <c r="F64" s="207">
        <f>F65+F66</f>
        <v>928747.1</v>
      </c>
      <c r="G64" s="207">
        <f>F65</f>
        <v>696137</v>
      </c>
      <c r="H64" s="207">
        <f>F66</f>
        <v>232610.1</v>
      </c>
      <c r="I64" s="207">
        <f aca="true" t="shared" si="13" ref="I64:I71">F64-D64</f>
        <v>11734.399999999907</v>
      </c>
      <c r="J64" s="220">
        <f t="shared" si="0"/>
        <v>1.2796333136934643</v>
      </c>
      <c r="K64" s="239">
        <f t="shared" si="1"/>
        <v>3911.466666666636</v>
      </c>
    </row>
    <row r="65" spans="1:11" ht="15" customHeight="1">
      <c r="A65" s="185"/>
      <c r="B65" s="174" t="s">
        <v>269</v>
      </c>
      <c r="C65" s="174" t="s">
        <v>20</v>
      </c>
      <c r="D65" s="208">
        <v>687209.3</v>
      </c>
      <c r="E65" s="208">
        <f t="shared" si="2"/>
        <v>515406.97500000003</v>
      </c>
      <c r="F65" s="208">
        <v>696137</v>
      </c>
      <c r="G65" s="208"/>
      <c r="H65" s="208"/>
      <c r="I65" s="208">
        <f t="shared" si="13"/>
        <v>8927.699999999953</v>
      </c>
      <c r="J65" s="221">
        <f t="shared" si="0"/>
        <v>1.2991238622643717</v>
      </c>
      <c r="K65" s="240">
        <f t="shared" si="1"/>
        <v>2975.8999999999846</v>
      </c>
    </row>
    <row r="66" spans="1:11" ht="15" customHeight="1">
      <c r="A66" s="185"/>
      <c r="B66" s="174" t="s">
        <v>268</v>
      </c>
      <c r="C66" s="174" t="s">
        <v>20</v>
      </c>
      <c r="D66" s="208">
        <v>229803.4</v>
      </c>
      <c r="E66" s="208">
        <f t="shared" si="2"/>
        <v>172352.55</v>
      </c>
      <c r="F66" s="208">
        <v>232610.1</v>
      </c>
      <c r="G66" s="208"/>
      <c r="H66" s="208"/>
      <c r="I66" s="208">
        <f t="shared" si="13"/>
        <v>2806.7000000000116</v>
      </c>
      <c r="J66" s="221">
        <f t="shared" si="0"/>
        <v>1.221348335142131</v>
      </c>
      <c r="K66" s="240">
        <f t="shared" si="1"/>
        <v>935.5666666666706</v>
      </c>
    </row>
    <row r="67" spans="1:14" s="187" customFormat="1" ht="27" customHeight="1">
      <c r="A67" s="185"/>
      <c r="B67" s="287" t="s">
        <v>310</v>
      </c>
      <c r="C67" s="180" t="s">
        <v>20</v>
      </c>
      <c r="D67" s="207">
        <v>3386921</v>
      </c>
      <c r="E67" s="207"/>
      <c r="F67" s="207">
        <v>2937304.9</v>
      </c>
      <c r="G67" s="207"/>
      <c r="H67" s="207"/>
      <c r="I67" s="207">
        <f t="shared" si="13"/>
        <v>-449616.1000000001</v>
      </c>
      <c r="J67" s="220">
        <f t="shared" si="0"/>
        <v>-13.275069008105003</v>
      </c>
      <c r="K67" s="239"/>
      <c r="N67" s="175"/>
    </row>
    <row r="68" spans="1:14" s="187" customFormat="1" ht="16.5" customHeight="1">
      <c r="A68" s="312" t="s">
        <v>270</v>
      </c>
      <c r="B68" s="315" t="s">
        <v>12</v>
      </c>
      <c r="C68" s="180" t="s">
        <v>269</v>
      </c>
      <c r="D68" s="211">
        <v>987936</v>
      </c>
      <c r="E68" s="207">
        <f t="shared" si="2"/>
        <v>740952</v>
      </c>
      <c r="F68" s="207">
        <v>1018222.61</v>
      </c>
      <c r="G68" s="210">
        <f>F68</f>
        <v>1018222.61</v>
      </c>
      <c r="H68" s="210"/>
      <c r="I68" s="207">
        <f t="shared" si="13"/>
        <v>30286.609999999986</v>
      </c>
      <c r="J68" s="220">
        <f t="shared" si="0"/>
        <v>3.06564494056295</v>
      </c>
      <c r="K68" s="239">
        <f t="shared" si="1"/>
        <v>10095.536666666661</v>
      </c>
      <c r="N68" s="175"/>
    </row>
    <row r="69" spans="1:14" s="187" customFormat="1" ht="16.5" customHeight="1">
      <c r="A69" s="312"/>
      <c r="B69" s="315"/>
      <c r="C69" s="180" t="s">
        <v>268</v>
      </c>
      <c r="D69" s="211">
        <f>Маневры!D68</f>
        <v>286678</v>
      </c>
      <c r="E69" s="207">
        <f t="shared" si="2"/>
        <v>215008.5</v>
      </c>
      <c r="F69" s="207">
        <v>294796.32</v>
      </c>
      <c r="G69" s="210"/>
      <c r="H69" s="210">
        <f>F69</f>
        <v>294796.32</v>
      </c>
      <c r="I69" s="207">
        <f t="shared" si="13"/>
        <v>8118.320000000007</v>
      </c>
      <c r="J69" s="220">
        <f t="shared" si="0"/>
        <v>2.831860135762077</v>
      </c>
      <c r="K69" s="239">
        <f t="shared" si="1"/>
        <v>2706.106666666669</v>
      </c>
      <c r="N69" s="175"/>
    </row>
    <row r="70" spans="1:11" ht="13.5" customHeight="1">
      <c r="A70" s="177"/>
      <c r="B70" s="313" t="s">
        <v>146</v>
      </c>
      <c r="C70" s="174" t="s">
        <v>220</v>
      </c>
      <c r="D70" s="209">
        <f>'Проезд '!D69</f>
        <v>695.6</v>
      </c>
      <c r="E70" s="209"/>
      <c r="F70" s="209">
        <f>F65*1000/F68</f>
        <v>683.6785916588515</v>
      </c>
      <c r="G70" s="209">
        <f>G64*1000/G68</f>
        <v>683.6785916588515</v>
      </c>
      <c r="H70" s="209"/>
      <c r="I70" s="208">
        <f t="shared" si="13"/>
        <v>-11.921408341148549</v>
      </c>
      <c r="J70" s="221">
        <f t="shared" si="0"/>
        <v>-1.7138309863640813</v>
      </c>
      <c r="K70" s="240"/>
    </row>
    <row r="71" spans="1:11" ht="13.5" customHeight="1" thickBot="1">
      <c r="A71" s="259"/>
      <c r="B71" s="314"/>
      <c r="C71" s="260" t="s">
        <v>267</v>
      </c>
      <c r="D71" s="237">
        <f>Маневры!D69</f>
        <v>801.61</v>
      </c>
      <c r="E71" s="237"/>
      <c r="F71" s="237">
        <f>F66*1000/F69</f>
        <v>789.0536082675659</v>
      </c>
      <c r="G71" s="237"/>
      <c r="H71" s="237">
        <f>H64*1000/H69</f>
        <v>789.0536082675659</v>
      </c>
      <c r="I71" s="217">
        <f t="shared" si="13"/>
        <v>-12.556391732434122</v>
      </c>
      <c r="J71" s="222">
        <f t="shared" si="0"/>
        <v>-1.5663965934100275</v>
      </c>
      <c r="K71" s="240"/>
    </row>
    <row r="72" spans="1:11" ht="13.5" thickBot="1">
      <c r="A72" s="261"/>
      <c r="B72" s="262" t="s">
        <v>147</v>
      </c>
      <c r="C72" s="263"/>
      <c r="D72" s="264"/>
      <c r="E72" s="264"/>
      <c r="F72" s="265"/>
      <c r="G72" s="266"/>
      <c r="H72" s="266"/>
      <c r="I72" s="265"/>
      <c r="J72" s="248"/>
      <c r="K72" s="243"/>
    </row>
    <row r="73" spans="1:11" s="187" customFormat="1" ht="15" customHeight="1">
      <c r="A73" s="192"/>
      <c r="B73" s="179" t="s">
        <v>148</v>
      </c>
      <c r="C73" s="188" t="s">
        <v>149</v>
      </c>
      <c r="D73" s="211">
        <f>D75+D76</f>
        <v>89.9999922872157</v>
      </c>
      <c r="E73" s="211"/>
      <c r="F73" s="211">
        <f>F75+F76</f>
        <v>90</v>
      </c>
      <c r="G73" s="211">
        <f>G75+G76</f>
        <v>0</v>
      </c>
      <c r="H73" s="211">
        <f>H75+H76</f>
        <v>0</v>
      </c>
      <c r="I73" s="211">
        <f>I75+I76</f>
        <v>7.712784297453368E-06</v>
      </c>
      <c r="J73" s="221"/>
      <c r="K73" s="238"/>
    </row>
    <row r="74" spans="1:11" ht="12.75" hidden="1">
      <c r="A74" s="191"/>
      <c r="B74" s="178" t="s">
        <v>38</v>
      </c>
      <c r="C74" s="189"/>
      <c r="D74" s="212"/>
      <c r="E74" s="212"/>
      <c r="F74" s="212"/>
      <c r="G74" s="212"/>
      <c r="H74" s="212"/>
      <c r="I74" s="212"/>
      <c r="J74" s="221"/>
      <c r="K74" s="240"/>
    </row>
    <row r="75" spans="1:11" ht="12.75">
      <c r="A75" s="191"/>
      <c r="B75" s="181" t="s">
        <v>295</v>
      </c>
      <c r="C75" s="189" t="s">
        <v>149</v>
      </c>
      <c r="D75" s="212">
        <f>D15/(D79/1000)/12</f>
        <v>75.99999703483508</v>
      </c>
      <c r="E75" s="212"/>
      <c r="F75" s="212">
        <f>49+27</f>
        <v>76</v>
      </c>
      <c r="G75" s="212"/>
      <c r="H75" s="212"/>
      <c r="I75" s="212">
        <f>F75-D75</f>
        <v>2.9651649242623535E-06</v>
      </c>
      <c r="J75" s="221"/>
      <c r="K75" s="240"/>
    </row>
    <row r="76" spans="1:11" ht="12.75">
      <c r="A76" s="191"/>
      <c r="B76" s="181" t="s">
        <v>296</v>
      </c>
      <c r="C76" s="189" t="s">
        <v>149</v>
      </c>
      <c r="D76" s="212">
        <f>D35/12/(D80/1000)</f>
        <v>13.999995252380627</v>
      </c>
      <c r="E76" s="212"/>
      <c r="F76" s="212">
        <f>3+11</f>
        <v>14</v>
      </c>
      <c r="G76" s="212"/>
      <c r="H76" s="212"/>
      <c r="I76" s="212">
        <f>F76-D76</f>
        <v>4.747619373191014E-06</v>
      </c>
      <c r="J76" s="221"/>
      <c r="K76" s="244"/>
    </row>
    <row r="77" spans="1:11" ht="12.75" hidden="1">
      <c r="A77" s="191"/>
      <c r="B77" s="178" t="str">
        <f>B74</f>
        <v>в том числе:</v>
      </c>
      <c r="C77" s="189"/>
      <c r="D77" s="212"/>
      <c r="E77" s="212"/>
      <c r="F77" s="208"/>
      <c r="G77" s="209"/>
      <c r="H77" s="209"/>
      <c r="I77" s="208"/>
      <c r="J77" s="221"/>
      <c r="K77" s="244"/>
    </row>
    <row r="78" spans="1:11" s="187" customFormat="1" ht="25.5">
      <c r="A78" s="192"/>
      <c r="B78" s="179" t="s">
        <v>152</v>
      </c>
      <c r="C78" s="188" t="s">
        <v>153</v>
      </c>
      <c r="D78" s="207">
        <f>(D35+D15)/D73*1000/12</f>
        <v>113110.1948784578</v>
      </c>
      <c r="E78" s="207"/>
      <c r="F78" s="207">
        <f>(F15+F35)/10*1000/F73</f>
        <v>133958.11111111112</v>
      </c>
      <c r="G78" s="210"/>
      <c r="H78" s="210"/>
      <c r="I78" s="207">
        <f>F78-D78</f>
        <v>20847.916232653326</v>
      </c>
      <c r="J78" s="220"/>
      <c r="K78" s="245"/>
    </row>
    <row r="79" spans="1:11" ht="12.75">
      <c r="A79" s="191"/>
      <c r="B79" s="181" t="s">
        <v>151</v>
      </c>
      <c r="C79" s="189" t="s">
        <v>153</v>
      </c>
      <c r="D79" s="208">
        <f>97569*1.06</f>
        <v>103423.14</v>
      </c>
      <c r="E79" s="208"/>
      <c r="F79" s="208">
        <f>F15/10/F75*1000</f>
        <v>118462.49999999999</v>
      </c>
      <c r="G79" s="209"/>
      <c r="H79" s="209"/>
      <c r="I79" s="208">
        <f>F79-D79</f>
        <v>15039.359999999986</v>
      </c>
      <c r="J79" s="221"/>
      <c r="K79" s="244"/>
    </row>
    <row r="80" spans="1:11" ht="13.5" thickBot="1">
      <c r="A80" s="193"/>
      <c r="B80" s="194" t="s">
        <v>150</v>
      </c>
      <c r="C80" s="195" t="s">
        <v>153</v>
      </c>
      <c r="D80" s="214">
        <f>156318*1.06</f>
        <v>165697.08000000002</v>
      </c>
      <c r="E80" s="214"/>
      <c r="F80" s="214">
        <f>F35/F76/10*1000</f>
        <v>218077.14285714287</v>
      </c>
      <c r="G80" s="213"/>
      <c r="H80" s="213"/>
      <c r="I80" s="214">
        <f>F80-D80</f>
        <v>52380.06285714285</v>
      </c>
      <c r="J80" s="223"/>
      <c r="K80" s="246"/>
    </row>
    <row r="81" spans="1:5" ht="12.75">
      <c r="A81" s="198"/>
      <c r="B81" s="225"/>
      <c r="C81" s="226"/>
      <c r="D81" s="226"/>
      <c r="E81" s="226"/>
    </row>
    <row r="82" spans="1:10" s="230" customFormat="1" ht="12.75" hidden="1">
      <c r="A82" s="228"/>
      <c r="B82" s="229" t="s">
        <v>133</v>
      </c>
      <c r="C82" s="190"/>
      <c r="D82" s="190"/>
      <c r="E82" s="190"/>
      <c r="F82" s="231"/>
      <c r="I82" s="231"/>
      <c r="J82" s="232"/>
    </row>
    <row r="83" spans="1:9" s="232" customFormat="1" ht="12.75">
      <c r="A83" s="198"/>
      <c r="B83" s="225"/>
      <c r="C83" s="226"/>
      <c r="D83" s="226"/>
      <c r="E83" s="226"/>
      <c r="F83" s="233"/>
      <c r="I83" s="233"/>
    </row>
  </sheetData>
  <sheetProtection/>
  <mergeCells count="13">
    <mergeCell ref="L13:M13"/>
    <mergeCell ref="A1:K1"/>
    <mergeCell ref="I2:J2"/>
    <mergeCell ref="K2:K3"/>
    <mergeCell ref="F2:F3"/>
    <mergeCell ref="D2:D3"/>
    <mergeCell ref="C2:C3"/>
    <mergeCell ref="B2:B3"/>
    <mergeCell ref="A2:A3"/>
    <mergeCell ref="E2:E3"/>
    <mergeCell ref="A68:A69"/>
    <mergeCell ref="B70:B71"/>
    <mergeCell ref="B68:B69"/>
  </mergeCells>
  <printOptions/>
  <pageMargins left="0" right="0" top="0.3937007874015748" bottom="0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T76"/>
  <sheetViews>
    <sheetView zoomScalePageLayoutView="0" workbookViewId="0" topLeftCell="A1">
      <selection activeCell="A5" sqref="A5:IV6"/>
    </sheetView>
  </sheetViews>
  <sheetFormatPr defaultColWidth="8.8515625" defaultRowHeight="12.75"/>
  <cols>
    <col min="1" max="1" width="4.7109375" style="30" customWidth="1"/>
    <col min="2" max="2" width="39.8515625" style="1" customWidth="1"/>
    <col min="3" max="3" width="17.00390625" style="2" hidden="1" customWidth="1"/>
    <col min="4" max="4" width="16.00390625" style="3" hidden="1" customWidth="1"/>
    <col min="5" max="5" width="15.140625" style="1" hidden="1" customWidth="1"/>
    <col min="6" max="6" width="8.140625" style="1" hidden="1" customWidth="1"/>
    <col min="7" max="8" width="8.57421875" style="3" hidden="1" customWidth="1"/>
    <col min="9" max="9" width="11.7109375" style="1" hidden="1" customWidth="1"/>
    <col min="10" max="10" width="16.7109375" style="1" customWidth="1"/>
    <col min="11" max="11" width="0.13671875" style="1" hidden="1" customWidth="1"/>
    <col min="12" max="12" width="16.57421875" style="1" customWidth="1"/>
    <col min="13" max="13" width="8.00390625" style="1" customWidth="1"/>
    <col min="14" max="14" width="8.57421875" style="1" customWidth="1"/>
    <col min="15" max="15" width="9.28125" style="1" customWidth="1"/>
    <col min="16" max="16" width="8.8515625" style="1" customWidth="1"/>
    <col min="17" max="17" width="8.421875" style="1" customWidth="1"/>
    <col min="18" max="18" width="9.7109375" style="1" customWidth="1"/>
    <col min="19" max="19" width="11.00390625" style="1" customWidth="1"/>
    <col min="20" max="20" width="10.8515625" style="4" customWidth="1"/>
    <col min="21" max="21" width="10.421875" style="1" customWidth="1"/>
    <col min="22" max="16384" width="8.8515625" style="1" customWidth="1"/>
  </cols>
  <sheetData>
    <row r="1" spans="1:20" ht="33.75" customHeight="1">
      <c r="A1" s="325" t="s">
        <v>155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8"/>
      <c r="N1" s="8"/>
      <c r="O1" s="8"/>
      <c r="P1" s="8"/>
      <c r="Q1" s="8"/>
      <c r="R1" s="8"/>
      <c r="S1" s="8"/>
      <c r="T1" s="8"/>
    </row>
    <row r="2" spans="4:5" ht="6" customHeight="1" thickBot="1">
      <c r="D2" s="5"/>
      <c r="E2" s="5"/>
    </row>
    <row r="3" spans="1:12" s="6" customFormat="1" ht="15" customHeight="1">
      <c r="A3" s="344" t="s">
        <v>59</v>
      </c>
      <c r="B3" s="346" t="s">
        <v>62</v>
      </c>
      <c r="C3" s="346" t="s">
        <v>63</v>
      </c>
      <c r="D3" s="346" t="s">
        <v>64</v>
      </c>
      <c r="E3" s="346" t="s">
        <v>65</v>
      </c>
      <c r="F3" s="348" t="s">
        <v>67</v>
      </c>
      <c r="G3" s="349"/>
      <c r="H3" s="349"/>
      <c r="I3" s="349"/>
      <c r="J3" s="349"/>
      <c r="K3" s="349"/>
      <c r="L3" s="350"/>
    </row>
    <row r="4" spans="1:12" s="6" customFormat="1" ht="18" customHeight="1">
      <c r="A4" s="345"/>
      <c r="B4" s="347"/>
      <c r="C4" s="347"/>
      <c r="D4" s="347"/>
      <c r="E4" s="347"/>
      <c r="F4" s="27"/>
      <c r="G4" s="351" t="s">
        <v>67</v>
      </c>
      <c r="H4" s="351"/>
      <c r="I4" s="351"/>
      <c r="J4" s="28" t="s">
        <v>66</v>
      </c>
      <c r="K4" s="27"/>
      <c r="L4" s="29" t="s">
        <v>68</v>
      </c>
    </row>
    <row r="5" spans="1:12" s="39" customFormat="1" ht="15" customHeight="1" hidden="1">
      <c r="A5" s="33"/>
      <c r="B5" s="34" t="s">
        <v>69</v>
      </c>
      <c r="C5" s="35" t="s">
        <v>137</v>
      </c>
      <c r="D5" s="35" t="s">
        <v>138</v>
      </c>
      <c r="E5" s="35" t="s">
        <v>70</v>
      </c>
      <c r="F5" s="36"/>
      <c r="G5" s="342">
        <v>326</v>
      </c>
      <c r="H5" s="342"/>
      <c r="I5" s="342"/>
      <c r="J5" s="79">
        <f>G5</f>
        <v>326</v>
      </c>
      <c r="K5" s="37"/>
      <c r="L5" s="38"/>
    </row>
    <row r="6" spans="1:12" s="39" customFormat="1" ht="15" customHeight="1" hidden="1">
      <c r="A6" s="40"/>
      <c r="B6" s="41" t="s">
        <v>71</v>
      </c>
      <c r="C6" s="42" t="s">
        <v>72</v>
      </c>
      <c r="D6" s="42" t="s">
        <v>73</v>
      </c>
      <c r="E6" s="42" t="s">
        <v>70</v>
      </c>
      <c r="F6" s="43">
        <v>7210</v>
      </c>
      <c r="G6" s="343">
        <v>480</v>
      </c>
      <c r="H6" s="343"/>
      <c r="I6" s="343"/>
      <c r="J6" s="80">
        <f>G6</f>
        <v>480</v>
      </c>
      <c r="K6" s="44"/>
      <c r="L6" s="45"/>
    </row>
    <row r="7" spans="1:12" s="12" customFormat="1" ht="12.75">
      <c r="A7" s="31">
        <v>1</v>
      </c>
      <c r="B7" s="336" t="s">
        <v>60</v>
      </c>
      <c r="C7" s="336"/>
      <c r="D7" s="336"/>
      <c r="E7" s="336"/>
      <c r="F7" s="327">
        <v>806</v>
      </c>
      <c r="G7" s="327"/>
      <c r="H7" s="327"/>
      <c r="I7" s="327"/>
      <c r="J7" s="81">
        <f>F7</f>
        <v>806</v>
      </c>
      <c r="K7" s="10"/>
      <c r="L7" s="11"/>
    </row>
    <row r="8" spans="1:12" s="53" customFormat="1" ht="12.75" customHeight="1">
      <c r="A8" s="46"/>
      <c r="B8" s="82">
        <v>41698</v>
      </c>
      <c r="C8" s="48" t="s">
        <v>156</v>
      </c>
      <c r="D8" s="48" t="s">
        <v>139</v>
      </c>
      <c r="E8" s="48" t="s">
        <v>74</v>
      </c>
      <c r="F8" s="49">
        <v>7210</v>
      </c>
      <c r="G8" s="335">
        <v>864.88</v>
      </c>
      <c r="H8" s="335"/>
      <c r="I8" s="335"/>
      <c r="J8" s="50">
        <f>G8</f>
        <v>864.88</v>
      </c>
      <c r="K8" s="51"/>
      <c r="L8" s="52"/>
    </row>
    <row r="9" spans="1:12" s="12" customFormat="1" ht="12.75">
      <c r="A9" s="31">
        <v>2</v>
      </c>
      <c r="B9" s="336" t="s">
        <v>75</v>
      </c>
      <c r="C9" s="336"/>
      <c r="D9" s="336"/>
      <c r="E9" s="336"/>
      <c r="F9" s="327">
        <v>46.3</v>
      </c>
      <c r="G9" s="327"/>
      <c r="H9" s="327"/>
      <c r="I9" s="327"/>
      <c r="J9" s="9">
        <f>F9</f>
        <v>46.3</v>
      </c>
      <c r="K9" s="10"/>
      <c r="L9" s="11">
        <f>L8</f>
        <v>0</v>
      </c>
    </row>
    <row r="10" spans="1:12" s="19" customFormat="1" ht="127.5" hidden="1">
      <c r="A10" s="32"/>
      <c r="B10" s="13" t="s">
        <v>76</v>
      </c>
      <c r="C10" s="14" t="s">
        <v>77</v>
      </c>
      <c r="D10" s="14" t="s">
        <v>132</v>
      </c>
      <c r="E10" s="14" t="s">
        <v>78</v>
      </c>
      <c r="F10" s="15">
        <v>7210</v>
      </c>
      <c r="G10" s="341">
        <v>10.62</v>
      </c>
      <c r="H10" s="341"/>
      <c r="I10" s="341"/>
      <c r="J10" s="16"/>
      <c r="K10" s="17"/>
      <c r="L10" s="18"/>
    </row>
    <row r="11" spans="1:12" s="19" customFormat="1" ht="83.25" customHeight="1" hidden="1">
      <c r="A11" s="32"/>
      <c r="B11" s="13" t="s">
        <v>76</v>
      </c>
      <c r="C11" s="14" t="s">
        <v>77</v>
      </c>
      <c r="D11" s="14" t="s">
        <v>79</v>
      </c>
      <c r="E11" s="14" t="s">
        <v>80</v>
      </c>
      <c r="F11" s="15">
        <v>7210</v>
      </c>
      <c r="G11" s="341">
        <v>42.72</v>
      </c>
      <c r="H11" s="341"/>
      <c r="I11" s="341"/>
      <c r="J11" s="16"/>
      <c r="K11" s="17"/>
      <c r="L11" s="18"/>
    </row>
    <row r="12" spans="1:12" s="19" customFormat="1" ht="114.75" hidden="1">
      <c r="A12" s="32"/>
      <c r="B12" s="13" t="s">
        <v>76</v>
      </c>
      <c r="C12" s="14" t="s">
        <v>77</v>
      </c>
      <c r="D12" s="14" t="s">
        <v>79</v>
      </c>
      <c r="E12" s="14" t="s">
        <v>81</v>
      </c>
      <c r="F12" s="15">
        <v>7210</v>
      </c>
      <c r="G12" s="341">
        <v>64.43</v>
      </c>
      <c r="H12" s="341"/>
      <c r="I12" s="341"/>
      <c r="J12" s="16"/>
      <c r="K12" s="17"/>
      <c r="L12" s="18"/>
    </row>
    <row r="13" spans="1:12" s="19" customFormat="1" ht="114.75" hidden="1">
      <c r="A13" s="32"/>
      <c r="B13" s="13" t="s">
        <v>76</v>
      </c>
      <c r="C13" s="14" t="s">
        <v>77</v>
      </c>
      <c r="D13" s="14" t="s">
        <v>79</v>
      </c>
      <c r="E13" s="14" t="s">
        <v>82</v>
      </c>
      <c r="F13" s="15">
        <v>7210</v>
      </c>
      <c r="G13" s="341">
        <v>31.56</v>
      </c>
      <c r="H13" s="341"/>
      <c r="I13" s="341"/>
      <c r="J13" s="16"/>
      <c r="K13" s="17"/>
      <c r="L13" s="18"/>
    </row>
    <row r="14" spans="1:12" s="19" customFormat="1" ht="114.75" hidden="1">
      <c r="A14" s="32"/>
      <c r="B14" s="13" t="s">
        <v>76</v>
      </c>
      <c r="C14" s="14" t="s">
        <v>77</v>
      </c>
      <c r="D14" s="14" t="s">
        <v>79</v>
      </c>
      <c r="E14" s="14" t="s">
        <v>83</v>
      </c>
      <c r="F14" s="15">
        <v>7210</v>
      </c>
      <c r="G14" s="341">
        <v>21.7</v>
      </c>
      <c r="H14" s="341"/>
      <c r="I14" s="341"/>
      <c r="J14" s="16"/>
      <c r="K14" s="17"/>
      <c r="L14" s="18"/>
    </row>
    <row r="15" spans="1:12" s="19" customFormat="1" ht="127.5" hidden="1">
      <c r="A15" s="32"/>
      <c r="B15" s="13" t="s">
        <v>76</v>
      </c>
      <c r="C15" s="14" t="s">
        <v>77</v>
      </c>
      <c r="D15" s="14" t="s">
        <v>79</v>
      </c>
      <c r="E15" s="14" t="s">
        <v>84</v>
      </c>
      <c r="F15" s="15">
        <v>7210</v>
      </c>
      <c r="G15" s="341">
        <v>3.73</v>
      </c>
      <c r="H15" s="341"/>
      <c r="I15" s="341"/>
      <c r="J15" s="16"/>
      <c r="K15" s="17"/>
      <c r="L15" s="18"/>
    </row>
    <row r="16" spans="1:12" s="19" customFormat="1" ht="127.5" hidden="1">
      <c r="A16" s="32"/>
      <c r="B16" s="13" t="s">
        <v>76</v>
      </c>
      <c r="C16" s="14" t="s">
        <v>77</v>
      </c>
      <c r="D16" s="14" t="s">
        <v>79</v>
      </c>
      <c r="E16" s="14" t="s">
        <v>85</v>
      </c>
      <c r="F16" s="15">
        <v>7210</v>
      </c>
      <c r="G16" s="341">
        <v>13.97</v>
      </c>
      <c r="H16" s="341"/>
      <c r="I16" s="341"/>
      <c r="J16" s="16"/>
      <c r="K16" s="17"/>
      <c r="L16" s="18"/>
    </row>
    <row r="17" spans="1:12" s="19" customFormat="1" ht="127.5" hidden="1">
      <c r="A17" s="32"/>
      <c r="B17" s="13" t="s">
        <v>76</v>
      </c>
      <c r="C17" s="14" t="s">
        <v>77</v>
      </c>
      <c r="D17" s="14" t="s">
        <v>79</v>
      </c>
      <c r="E17" s="14" t="s">
        <v>86</v>
      </c>
      <c r="F17" s="15">
        <v>7210</v>
      </c>
      <c r="G17" s="341">
        <v>12.88</v>
      </c>
      <c r="H17" s="341"/>
      <c r="I17" s="341"/>
      <c r="J17" s="16"/>
      <c r="K17" s="17"/>
      <c r="L17" s="18"/>
    </row>
    <row r="18" spans="1:12" s="19" customFormat="1" ht="127.5" hidden="1">
      <c r="A18" s="32"/>
      <c r="B18" s="13" t="s">
        <v>76</v>
      </c>
      <c r="C18" s="14" t="s">
        <v>77</v>
      </c>
      <c r="D18" s="14" t="s">
        <v>79</v>
      </c>
      <c r="E18" s="14" t="s">
        <v>87</v>
      </c>
      <c r="F18" s="15">
        <v>7210</v>
      </c>
      <c r="G18" s="341">
        <v>9.41</v>
      </c>
      <c r="H18" s="341"/>
      <c r="I18" s="341"/>
      <c r="J18" s="16"/>
      <c r="K18" s="17"/>
      <c r="L18" s="18"/>
    </row>
    <row r="19" spans="1:12" s="19" customFormat="1" ht="114.75" hidden="1">
      <c r="A19" s="32"/>
      <c r="B19" s="13" t="s">
        <v>76</v>
      </c>
      <c r="C19" s="14" t="s">
        <v>77</v>
      </c>
      <c r="D19" s="14" t="s">
        <v>79</v>
      </c>
      <c r="E19" s="14" t="s">
        <v>88</v>
      </c>
      <c r="F19" s="15">
        <v>7210</v>
      </c>
      <c r="G19" s="341">
        <v>18.99</v>
      </c>
      <c r="H19" s="341"/>
      <c r="I19" s="341"/>
      <c r="J19" s="16"/>
      <c r="K19" s="17"/>
      <c r="L19" s="18"/>
    </row>
    <row r="20" spans="1:12" s="19" customFormat="1" ht="114.75" hidden="1">
      <c r="A20" s="32"/>
      <c r="B20" s="13" t="s">
        <v>76</v>
      </c>
      <c r="C20" s="14" t="s">
        <v>77</v>
      </c>
      <c r="D20" s="14" t="s">
        <v>79</v>
      </c>
      <c r="E20" s="14" t="s">
        <v>89</v>
      </c>
      <c r="F20" s="15">
        <v>7210</v>
      </c>
      <c r="G20" s="341">
        <v>14.69</v>
      </c>
      <c r="H20" s="341"/>
      <c r="I20" s="341"/>
      <c r="J20" s="16"/>
      <c r="K20" s="17"/>
      <c r="L20" s="18"/>
    </row>
    <row r="21" spans="1:12" s="19" customFormat="1" ht="127.5" hidden="1">
      <c r="A21" s="32"/>
      <c r="B21" s="13" t="s">
        <v>76</v>
      </c>
      <c r="C21" s="14" t="s">
        <v>77</v>
      </c>
      <c r="D21" s="14" t="s">
        <v>79</v>
      </c>
      <c r="E21" s="14" t="s">
        <v>90</v>
      </c>
      <c r="F21" s="15">
        <v>7210</v>
      </c>
      <c r="G21" s="341">
        <v>13.53</v>
      </c>
      <c r="H21" s="341"/>
      <c r="I21" s="341"/>
      <c r="J21" s="16"/>
      <c r="K21" s="17"/>
      <c r="L21" s="18"/>
    </row>
    <row r="22" spans="1:12" s="19" customFormat="1" ht="127.5" hidden="1">
      <c r="A22" s="32"/>
      <c r="B22" s="13" t="s">
        <v>76</v>
      </c>
      <c r="C22" s="14" t="s">
        <v>77</v>
      </c>
      <c r="D22" s="14" t="s">
        <v>79</v>
      </c>
      <c r="E22" s="14" t="s">
        <v>91</v>
      </c>
      <c r="F22" s="15">
        <v>7210</v>
      </c>
      <c r="G22" s="341">
        <v>16.27</v>
      </c>
      <c r="H22" s="341"/>
      <c r="I22" s="341"/>
      <c r="J22" s="16"/>
      <c r="K22" s="17"/>
      <c r="L22" s="18"/>
    </row>
    <row r="23" spans="1:12" s="19" customFormat="1" ht="114.75" hidden="1">
      <c r="A23" s="32"/>
      <c r="B23" s="13" t="s">
        <v>76</v>
      </c>
      <c r="C23" s="14" t="s">
        <v>77</v>
      </c>
      <c r="D23" s="14" t="s">
        <v>79</v>
      </c>
      <c r="E23" s="14" t="s">
        <v>92</v>
      </c>
      <c r="F23" s="15">
        <v>7210</v>
      </c>
      <c r="G23" s="341">
        <v>19.4</v>
      </c>
      <c r="H23" s="341"/>
      <c r="I23" s="341"/>
      <c r="J23" s="16"/>
      <c r="K23" s="17"/>
      <c r="L23" s="18"/>
    </row>
    <row r="24" spans="1:12" s="19" customFormat="1" ht="127.5" hidden="1">
      <c r="A24" s="32"/>
      <c r="B24" s="13" t="s">
        <v>76</v>
      </c>
      <c r="C24" s="14" t="s">
        <v>77</v>
      </c>
      <c r="D24" s="14" t="s">
        <v>79</v>
      </c>
      <c r="E24" s="14" t="s">
        <v>93</v>
      </c>
      <c r="F24" s="15">
        <v>7210</v>
      </c>
      <c r="G24" s="341">
        <v>15.49</v>
      </c>
      <c r="H24" s="341"/>
      <c r="I24" s="341"/>
      <c r="J24" s="16"/>
      <c r="K24" s="17"/>
      <c r="L24" s="18"/>
    </row>
    <row r="25" spans="1:12" s="19" customFormat="1" ht="114.75" hidden="1">
      <c r="A25" s="32"/>
      <c r="B25" s="13" t="s">
        <v>76</v>
      </c>
      <c r="C25" s="14" t="s">
        <v>77</v>
      </c>
      <c r="D25" s="14" t="s">
        <v>79</v>
      </c>
      <c r="E25" s="14" t="s">
        <v>94</v>
      </c>
      <c r="F25" s="15">
        <v>7210</v>
      </c>
      <c r="G25" s="341">
        <v>25.18</v>
      </c>
      <c r="H25" s="341"/>
      <c r="I25" s="341"/>
      <c r="J25" s="16"/>
      <c r="K25" s="17"/>
      <c r="L25" s="18"/>
    </row>
    <row r="26" spans="1:12" s="19" customFormat="1" ht="127.5" hidden="1">
      <c r="A26" s="32"/>
      <c r="B26" s="13" t="s">
        <v>76</v>
      </c>
      <c r="C26" s="14" t="s">
        <v>77</v>
      </c>
      <c r="D26" s="14" t="s">
        <v>79</v>
      </c>
      <c r="E26" s="14" t="s">
        <v>95</v>
      </c>
      <c r="F26" s="15">
        <v>7210</v>
      </c>
      <c r="G26" s="341">
        <v>20.91</v>
      </c>
      <c r="H26" s="341"/>
      <c r="I26" s="341"/>
      <c r="J26" s="16"/>
      <c r="K26" s="17"/>
      <c r="L26" s="18"/>
    </row>
    <row r="27" spans="1:12" s="19" customFormat="1" ht="127.5" hidden="1">
      <c r="A27" s="32"/>
      <c r="B27" s="13" t="s">
        <v>76</v>
      </c>
      <c r="C27" s="14" t="s">
        <v>77</v>
      </c>
      <c r="D27" s="14" t="s">
        <v>79</v>
      </c>
      <c r="E27" s="14" t="s">
        <v>96</v>
      </c>
      <c r="F27" s="15">
        <v>7210</v>
      </c>
      <c r="G27" s="341">
        <v>21.7</v>
      </c>
      <c r="H27" s="341"/>
      <c r="I27" s="341"/>
      <c r="J27" s="16"/>
      <c r="K27" s="17"/>
      <c r="L27" s="18"/>
    </row>
    <row r="28" spans="1:12" s="19" customFormat="1" ht="127.5" hidden="1">
      <c r="A28" s="32"/>
      <c r="B28" s="13" t="s">
        <v>76</v>
      </c>
      <c r="C28" s="14" t="s">
        <v>77</v>
      </c>
      <c r="D28" s="14" t="s">
        <v>79</v>
      </c>
      <c r="E28" s="14" t="s">
        <v>97</v>
      </c>
      <c r="F28" s="15">
        <v>7210</v>
      </c>
      <c r="G28" s="341">
        <v>8.28</v>
      </c>
      <c r="H28" s="341"/>
      <c r="I28" s="341"/>
      <c r="J28" s="16"/>
      <c r="K28" s="17"/>
      <c r="L28" s="18"/>
    </row>
    <row r="29" spans="1:12" s="19" customFormat="1" ht="127.5" hidden="1">
      <c r="A29" s="32"/>
      <c r="B29" s="13" t="s">
        <v>76</v>
      </c>
      <c r="C29" s="14" t="s">
        <v>77</v>
      </c>
      <c r="D29" s="14" t="s">
        <v>79</v>
      </c>
      <c r="E29" s="14" t="s">
        <v>98</v>
      </c>
      <c r="F29" s="15">
        <v>7210</v>
      </c>
      <c r="G29" s="341">
        <v>19.24</v>
      </c>
      <c r="H29" s="341"/>
      <c r="I29" s="341"/>
      <c r="J29" s="16"/>
      <c r="K29" s="17"/>
      <c r="L29" s="18"/>
    </row>
    <row r="30" spans="1:12" s="19" customFormat="1" ht="114.75" hidden="1">
      <c r="A30" s="32"/>
      <c r="B30" s="13" t="s">
        <v>76</v>
      </c>
      <c r="C30" s="14" t="s">
        <v>77</v>
      </c>
      <c r="D30" s="14" t="s">
        <v>79</v>
      </c>
      <c r="E30" s="14" t="s">
        <v>99</v>
      </c>
      <c r="F30" s="15">
        <v>7210</v>
      </c>
      <c r="G30" s="341">
        <v>19.4</v>
      </c>
      <c r="H30" s="341"/>
      <c r="I30" s="341"/>
      <c r="J30" s="16"/>
      <c r="K30" s="17"/>
      <c r="L30" s="18"/>
    </row>
    <row r="31" spans="1:12" s="19" customFormat="1" ht="127.5" hidden="1">
      <c r="A31" s="32"/>
      <c r="B31" s="13" t="s">
        <v>76</v>
      </c>
      <c r="C31" s="14" t="s">
        <v>77</v>
      </c>
      <c r="D31" s="14" t="s">
        <v>79</v>
      </c>
      <c r="E31" s="14" t="s">
        <v>100</v>
      </c>
      <c r="F31" s="15">
        <v>7210</v>
      </c>
      <c r="G31" s="341">
        <v>5.94</v>
      </c>
      <c r="H31" s="341"/>
      <c r="I31" s="341"/>
      <c r="J31" s="16"/>
      <c r="K31" s="17"/>
      <c r="L31" s="18"/>
    </row>
    <row r="32" spans="1:12" s="19" customFormat="1" ht="114.75" hidden="1">
      <c r="A32" s="32"/>
      <c r="B32" s="13" t="s">
        <v>76</v>
      </c>
      <c r="C32" s="14" t="s">
        <v>77</v>
      </c>
      <c r="D32" s="14" t="s">
        <v>79</v>
      </c>
      <c r="E32" s="14" t="s">
        <v>101</v>
      </c>
      <c r="F32" s="15">
        <v>7210</v>
      </c>
      <c r="G32" s="341">
        <v>6.81</v>
      </c>
      <c r="H32" s="341"/>
      <c r="I32" s="341"/>
      <c r="J32" s="16"/>
      <c r="K32" s="17"/>
      <c r="L32" s="18"/>
    </row>
    <row r="33" spans="1:12" s="19" customFormat="1" ht="114.75" hidden="1">
      <c r="A33" s="32"/>
      <c r="B33" s="13" t="s">
        <v>76</v>
      </c>
      <c r="C33" s="14" t="s">
        <v>77</v>
      </c>
      <c r="D33" s="14" t="s">
        <v>79</v>
      </c>
      <c r="E33" s="14" t="s">
        <v>102</v>
      </c>
      <c r="F33" s="15">
        <v>7210</v>
      </c>
      <c r="G33" s="341">
        <v>15.82</v>
      </c>
      <c r="H33" s="341"/>
      <c r="I33" s="341"/>
      <c r="J33" s="16"/>
      <c r="K33" s="17"/>
      <c r="L33" s="18"/>
    </row>
    <row r="34" spans="1:12" s="19" customFormat="1" ht="114.75" hidden="1">
      <c r="A34" s="32"/>
      <c r="B34" s="13" t="s">
        <v>76</v>
      </c>
      <c r="C34" s="14" t="s">
        <v>77</v>
      </c>
      <c r="D34" s="14" t="s">
        <v>79</v>
      </c>
      <c r="E34" s="14" t="s">
        <v>103</v>
      </c>
      <c r="F34" s="15">
        <v>7210</v>
      </c>
      <c r="G34" s="341">
        <v>71.2</v>
      </c>
      <c r="H34" s="341"/>
      <c r="I34" s="341"/>
      <c r="J34" s="16"/>
      <c r="K34" s="17"/>
      <c r="L34" s="18"/>
    </row>
    <row r="35" spans="1:12" s="19" customFormat="1" ht="114.75" hidden="1">
      <c r="A35" s="32"/>
      <c r="B35" s="13" t="s">
        <v>76</v>
      </c>
      <c r="C35" s="14" t="s">
        <v>77</v>
      </c>
      <c r="D35" s="14" t="s">
        <v>79</v>
      </c>
      <c r="E35" s="14" t="s">
        <v>104</v>
      </c>
      <c r="F35" s="15">
        <v>7210</v>
      </c>
      <c r="G35" s="341">
        <v>22.83</v>
      </c>
      <c r="H35" s="341"/>
      <c r="I35" s="341"/>
      <c r="J35" s="16"/>
      <c r="K35" s="17"/>
      <c r="L35" s="18"/>
    </row>
    <row r="36" spans="1:12" s="19" customFormat="1" ht="114.75" hidden="1">
      <c r="A36" s="32"/>
      <c r="B36" s="13" t="s">
        <v>76</v>
      </c>
      <c r="C36" s="14" t="s">
        <v>77</v>
      </c>
      <c r="D36" s="14" t="s">
        <v>79</v>
      </c>
      <c r="E36" s="14" t="s">
        <v>105</v>
      </c>
      <c r="F36" s="15">
        <v>7210</v>
      </c>
      <c r="G36" s="341">
        <v>5.76</v>
      </c>
      <c r="H36" s="341"/>
      <c r="I36" s="341"/>
      <c r="J36" s="16"/>
      <c r="K36" s="17"/>
      <c r="L36" s="18"/>
    </row>
    <row r="37" spans="1:12" s="19" customFormat="1" ht="127.5" hidden="1">
      <c r="A37" s="32"/>
      <c r="B37" s="13" t="s">
        <v>76</v>
      </c>
      <c r="C37" s="14" t="s">
        <v>77</v>
      </c>
      <c r="D37" s="14" t="s">
        <v>79</v>
      </c>
      <c r="E37" s="14" t="s">
        <v>106</v>
      </c>
      <c r="F37" s="15">
        <v>7210</v>
      </c>
      <c r="G37" s="341">
        <v>26.55</v>
      </c>
      <c r="H37" s="341"/>
      <c r="I37" s="341"/>
      <c r="J37" s="16"/>
      <c r="K37" s="17"/>
      <c r="L37" s="18"/>
    </row>
    <row r="38" spans="1:12" s="12" customFormat="1" ht="12.75">
      <c r="A38" s="31">
        <v>3</v>
      </c>
      <c r="B38" s="336"/>
      <c r="C38" s="336"/>
      <c r="D38" s="336"/>
      <c r="E38" s="336"/>
      <c r="F38" s="327"/>
      <c r="G38" s="327"/>
      <c r="H38" s="327"/>
      <c r="I38" s="327"/>
      <c r="J38" s="9"/>
      <c r="K38" s="10"/>
      <c r="L38" s="11"/>
    </row>
    <row r="39" spans="1:12" s="19" customFormat="1" ht="48" hidden="1">
      <c r="A39" s="32"/>
      <c r="B39" s="83" t="s">
        <v>108</v>
      </c>
      <c r="C39" s="86" t="s">
        <v>109</v>
      </c>
      <c r="D39" s="86" t="s">
        <v>107</v>
      </c>
      <c r="E39" s="14"/>
      <c r="F39" s="15">
        <v>7210</v>
      </c>
      <c r="G39" s="341">
        <v>9500</v>
      </c>
      <c r="H39" s="341"/>
      <c r="I39" s="341"/>
      <c r="J39" s="16"/>
      <c r="K39" s="17"/>
      <c r="L39" s="18"/>
    </row>
    <row r="40" spans="1:12" s="19" customFormat="1" ht="60" hidden="1">
      <c r="A40" s="32"/>
      <c r="B40" s="83" t="s">
        <v>110</v>
      </c>
      <c r="C40" s="86" t="s">
        <v>111</v>
      </c>
      <c r="D40" s="86" t="s">
        <v>107</v>
      </c>
      <c r="E40" s="14"/>
      <c r="F40" s="15"/>
      <c r="G40" s="341">
        <v>2000</v>
      </c>
      <c r="H40" s="341"/>
      <c r="I40" s="341"/>
      <c r="J40" s="16"/>
      <c r="K40" s="17"/>
      <c r="L40" s="18"/>
    </row>
    <row r="41" spans="1:12" s="19" customFormat="1" ht="60" hidden="1">
      <c r="A41" s="32"/>
      <c r="B41" s="83" t="s">
        <v>69</v>
      </c>
      <c r="C41" s="86" t="s">
        <v>112</v>
      </c>
      <c r="D41" s="86" t="s">
        <v>107</v>
      </c>
      <c r="E41" s="14"/>
      <c r="F41" s="15"/>
      <c r="G41" s="341">
        <v>4500</v>
      </c>
      <c r="H41" s="341"/>
      <c r="I41" s="341"/>
      <c r="J41" s="16"/>
      <c r="K41" s="17"/>
      <c r="L41" s="18"/>
    </row>
    <row r="42" spans="1:12" s="19" customFormat="1" ht="60" hidden="1">
      <c r="A42" s="32"/>
      <c r="B42" s="83" t="s">
        <v>113</v>
      </c>
      <c r="C42" s="86" t="s">
        <v>114</v>
      </c>
      <c r="D42" s="86" t="s">
        <v>107</v>
      </c>
      <c r="E42" s="14"/>
      <c r="F42" s="15"/>
      <c r="G42" s="341">
        <v>7000</v>
      </c>
      <c r="H42" s="341"/>
      <c r="I42" s="341"/>
      <c r="J42" s="16"/>
      <c r="K42" s="17"/>
      <c r="L42" s="18"/>
    </row>
    <row r="43" spans="1:12" s="19" customFormat="1" ht="60" hidden="1">
      <c r="A43" s="32"/>
      <c r="B43" s="83" t="s">
        <v>115</v>
      </c>
      <c r="C43" s="86" t="s">
        <v>116</v>
      </c>
      <c r="D43" s="86" t="s">
        <v>107</v>
      </c>
      <c r="E43" s="14"/>
      <c r="F43" s="15"/>
      <c r="G43" s="341">
        <v>4053</v>
      </c>
      <c r="H43" s="341"/>
      <c r="I43" s="341"/>
      <c r="J43" s="16"/>
      <c r="K43" s="17"/>
      <c r="L43" s="18"/>
    </row>
    <row r="44" spans="1:12" s="19" customFormat="1" ht="48" hidden="1">
      <c r="A44" s="32"/>
      <c r="B44" s="83" t="s">
        <v>71</v>
      </c>
      <c r="C44" s="86" t="s">
        <v>117</v>
      </c>
      <c r="D44" s="86" t="s">
        <v>107</v>
      </c>
      <c r="E44" s="14"/>
      <c r="F44" s="15"/>
      <c r="G44" s="341">
        <v>6755.953</v>
      </c>
      <c r="H44" s="341"/>
      <c r="I44" s="341"/>
      <c r="J44" s="16"/>
      <c r="K44" s="17"/>
      <c r="L44" s="18"/>
    </row>
    <row r="45" spans="1:12" s="19" customFormat="1" ht="60" hidden="1">
      <c r="A45" s="32"/>
      <c r="B45" s="83" t="s">
        <v>157</v>
      </c>
      <c r="C45" s="86" t="s">
        <v>162</v>
      </c>
      <c r="D45" s="86" t="s">
        <v>107</v>
      </c>
      <c r="E45" s="14"/>
      <c r="F45" s="15"/>
      <c r="G45" s="338">
        <v>4504</v>
      </c>
      <c r="H45" s="339"/>
      <c r="I45" s="340"/>
      <c r="J45" s="16"/>
      <c r="K45" s="17"/>
      <c r="L45" s="18"/>
    </row>
    <row r="46" spans="1:12" s="19" customFormat="1" ht="60" hidden="1">
      <c r="A46" s="32"/>
      <c r="B46" s="83" t="s">
        <v>158</v>
      </c>
      <c r="C46" s="86" t="s">
        <v>163</v>
      </c>
      <c r="D46" s="86" t="s">
        <v>107</v>
      </c>
      <c r="E46" s="14"/>
      <c r="F46" s="15"/>
      <c r="G46" s="338">
        <v>4504</v>
      </c>
      <c r="H46" s="339"/>
      <c r="I46" s="340"/>
      <c r="J46" s="16"/>
      <c r="K46" s="17"/>
      <c r="L46" s="18"/>
    </row>
    <row r="47" spans="1:12" s="19" customFormat="1" ht="60" hidden="1">
      <c r="A47" s="32"/>
      <c r="B47" s="83" t="s">
        <v>159</v>
      </c>
      <c r="C47" s="86" t="s">
        <v>164</v>
      </c>
      <c r="D47" s="86" t="s">
        <v>107</v>
      </c>
      <c r="E47" s="14"/>
      <c r="F47" s="15"/>
      <c r="G47" s="338">
        <v>4053</v>
      </c>
      <c r="H47" s="339"/>
      <c r="I47" s="340"/>
      <c r="J47" s="16"/>
      <c r="K47" s="17"/>
      <c r="L47" s="18"/>
    </row>
    <row r="48" spans="1:12" s="19" customFormat="1" ht="60" hidden="1">
      <c r="A48" s="32"/>
      <c r="B48" s="83" t="s">
        <v>160</v>
      </c>
      <c r="C48" s="86" t="s">
        <v>165</v>
      </c>
      <c r="D48" s="86" t="s">
        <v>107</v>
      </c>
      <c r="E48" s="14"/>
      <c r="F48" s="15"/>
      <c r="G48" s="341">
        <v>4912</v>
      </c>
      <c r="H48" s="341"/>
      <c r="I48" s="341"/>
      <c r="J48" s="16"/>
      <c r="K48" s="17"/>
      <c r="L48" s="18"/>
    </row>
    <row r="49" spans="1:12" s="19" customFormat="1" ht="60" hidden="1">
      <c r="A49" s="32"/>
      <c r="B49" s="84" t="s">
        <v>161</v>
      </c>
      <c r="C49" s="86" t="s">
        <v>166</v>
      </c>
      <c r="D49" s="86" t="s">
        <v>107</v>
      </c>
      <c r="E49" s="14"/>
      <c r="F49" s="15"/>
      <c r="G49" s="341">
        <v>4465</v>
      </c>
      <c r="H49" s="341"/>
      <c r="I49" s="341"/>
      <c r="J49" s="16"/>
      <c r="K49" s="17"/>
      <c r="L49" s="18"/>
    </row>
    <row r="50" spans="1:12" s="19" customFormat="1" ht="12.75" hidden="1">
      <c r="A50" s="32"/>
      <c r="B50" s="85"/>
      <c r="C50" s="14"/>
      <c r="D50" s="14"/>
      <c r="E50" s="14"/>
      <c r="F50" s="15"/>
      <c r="G50" s="78"/>
      <c r="H50" s="78"/>
      <c r="I50" s="78"/>
      <c r="J50" s="16"/>
      <c r="K50" s="17"/>
      <c r="L50" s="18"/>
    </row>
    <row r="51" spans="1:12" s="19" customFormat="1" ht="12.75" hidden="1">
      <c r="A51" s="32"/>
      <c r="B51" s="85"/>
      <c r="C51" s="14"/>
      <c r="D51" s="14"/>
      <c r="E51" s="14"/>
      <c r="F51" s="15"/>
      <c r="G51" s="78"/>
      <c r="H51" s="78"/>
      <c r="I51" s="78"/>
      <c r="J51" s="16"/>
      <c r="K51" s="17"/>
      <c r="L51" s="18"/>
    </row>
    <row r="52" spans="1:12" s="12" customFormat="1" ht="12.75">
      <c r="A52" s="31">
        <v>4</v>
      </c>
      <c r="B52" s="336" t="s">
        <v>118</v>
      </c>
      <c r="C52" s="336"/>
      <c r="D52" s="336"/>
      <c r="E52" s="336"/>
      <c r="F52" s="327">
        <f>G39+G40+G41+G42+G43+G44+G45+G46+G47+G48+G49</f>
        <v>56246.953</v>
      </c>
      <c r="G52" s="327"/>
      <c r="H52" s="327"/>
      <c r="I52" s="327"/>
      <c r="J52" s="9">
        <f>F52</f>
        <v>56246.953</v>
      </c>
      <c r="K52" s="10"/>
      <c r="L52" s="11">
        <v>7511</v>
      </c>
    </row>
    <row r="53" spans="1:14" s="53" customFormat="1" ht="15.75" customHeight="1">
      <c r="A53" s="46"/>
      <c r="B53" s="47"/>
      <c r="C53" s="54"/>
      <c r="D53" s="48"/>
      <c r="E53" s="48"/>
      <c r="F53" s="49"/>
      <c r="G53" s="335"/>
      <c r="H53" s="335"/>
      <c r="I53" s="335"/>
      <c r="J53" s="50">
        <f>G53</f>
        <v>0</v>
      </c>
      <c r="K53" s="51"/>
      <c r="L53" s="52"/>
      <c r="N53" s="55"/>
    </row>
    <row r="54" spans="1:12" s="53" customFormat="1" ht="15.75" customHeight="1">
      <c r="A54" s="46"/>
      <c r="B54" s="77" t="s">
        <v>136</v>
      </c>
      <c r="C54" s="48"/>
      <c r="D54" s="48"/>
      <c r="E54" s="48"/>
      <c r="F54" s="49"/>
      <c r="G54" s="335"/>
      <c r="H54" s="335"/>
      <c r="I54" s="335"/>
      <c r="J54" s="50">
        <f>G54</f>
        <v>0</v>
      </c>
      <c r="K54" s="51"/>
      <c r="L54" s="52"/>
    </row>
    <row r="55" spans="1:12" s="53" customFormat="1" ht="15.75" customHeight="1">
      <c r="A55" s="46"/>
      <c r="B55" s="87" t="s">
        <v>134</v>
      </c>
      <c r="C55" s="88" t="s">
        <v>61</v>
      </c>
      <c r="D55" s="89" t="s">
        <v>119</v>
      </c>
      <c r="E55" s="89" t="s">
        <v>140</v>
      </c>
      <c r="F55" s="90">
        <v>7210</v>
      </c>
      <c r="G55" s="337">
        <v>37000</v>
      </c>
      <c r="H55" s="337"/>
      <c r="I55" s="337"/>
      <c r="J55" s="91">
        <f>G55</f>
        <v>37000</v>
      </c>
      <c r="K55" s="51"/>
      <c r="L55" s="52"/>
    </row>
    <row r="56" spans="1:12" s="53" customFormat="1" ht="16.5" customHeight="1">
      <c r="A56" s="46"/>
      <c r="B56" s="89" t="s">
        <v>135</v>
      </c>
      <c r="C56" s="89" t="s">
        <v>120</v>
      </c>
      <c r="D56" s="89" t="s">
        <v>119</v>
      </c>
      <c r="E56" s="89" t="s">
        <v>121</v>
      </c>
      <c r="F56" s="90">
        <v>7210</v>
      </c>
      <c r="G56" s="337">
        <v>18611.01</v>
      </c>
      <c r="H56" s="337"/>
      <c r="I56" s="337"/>
      <c r="J56" s="91">
        <f>G56</f>
        <v>18611.01</v>
      </c>
      <c r="K56" s="51"/>
      <c r="L56" s="52"/>
    </row>
    <row r="57" spans="1:12" s="12" customFormat="1" ht="12.75">
      <c r="A57" s="31">
        <v>5</v>
      </c>
      <c r="B57" s="336"/>
      <c r="C57" s="336"/>
      <c r="D57" s="336"/>
      <c r="E57" s="336"/>
      <c r="F57" s="327"/>
      <c r="G57" s="327"/>
      <c r="H57" s="327"/>
      <c r="I57" s="327"/>
      <c r="J57" s="9">
        <f>F57</f>
        <v>0</v>
      </c>
      <c r="K57" s="10"/>
      <c r="L57" s="11"/>
    </row>
    <row r="58" spans="1:12" s="53" customFormat="1" ht="15.75" customHeight="1">
      <c r="A58" s="46"/>
      <c r="B58" s="47"/>
      <c r="C58" s="48"/>
      <c r="D58" s="48"/>
      <c r="E58" s="48"/>
      <c r="F58" s="49"/>
      <c r="G58" s="335"/>
      <c r="H58" s="335"/>
      <c r="I58" s="335"/>
      <c r="J58" s="50"/>
      <c r="K58" s="51"/>
      <c r="L58" s="52"/>
    </row>
    <row r="59" spans="1:12" s="53" customFormat="1" ht="15.75" customHeight="1">
      <c r="A59" s="46"/>
      <c r="B59" s="47"/>
      <c r="C59" s="48"/>
      <c r="D59" s="48"/>
      <c r="E59" s="48"/>
      <c r="F59" s="49"/>
      <c r="G59" s="335"/>
      <c r="H59" s="335"/>
      <c r="I59" s="335"/>
      <c r="J59" s="50"/>
      <c r="K59" s="51"/>
      <c r="L59" s="52"/>
    </row>
    <row r="60" spans="1:12" s="12" customFormat="1" ht="12.75">
      <c r="A60" s="31">
        <v>6</v>
      </c>
      <c r="B60" s="336"/>
      <c r="C60" s="336"/>
      <c r="D60" s="336"/>
      <c r="E60" s="336"/>
      <c r="F60" s="327"/>
      <c r="G60" s="327"/>
      <c r="H60" s="327"/>
      <c r="I60" s="327"/>
      <c r="J60" s="9"/>
      <c r="K60" s="10"/>
      <c r="L60" s="11"/>
    </row>
    <row r="61" spans="1:12" s="53" customFormat="1" ht="13.5" customHeight="1">
      <c r="A61" s="46"/>
      <c r="B61" s="47"/>
      <c r="C61" s="48"/>
      <c r="D61" s="48"/>
      <c r="E61" s="48"/>
      <c r="F61" s="49"/>
      <c r="G61" s="335"/>
      <c r="H61" s="335"/>
      <c r="I61" s="335"/>
      <c r="J61" s="50"/>
      <c r="K61" s="51"/>
      <c r="L61" s="52"/>
    </row>
    <row r="62" spans="1:12" s="12" customFormat="1" ht="12.75">
      <c r="A62" s="31">
        <v>7</v>
      </c>
      <c r="B62" s="336"/>
      <c r="C62" s="336"/>
      <c r="D62" s="336"/>
      <c r="E62" s="336"/>
      <c r="F62" s="327"/>
      <c r="G62" s="327"/>
      <c r="H62" s="327"/>
      <c r="I62" s="327"/>
      <c r="J62" s="9">
        <f>F62</f>
        <v>0</v>
      </c>
      <c r="K62" s="10"/>
      <c r="L62" s="11"/>
    </row>
    <row r="63" spans="1:12" s="53" customFormat="1" ht="15.75" customHeight="1">
      <c r="A63" s="46"/>
      <c r="B63" s="56" t="s">
        <v>113</v>
      </c>
      <c r="C63" s="57" t="s">
        <v>122</v>
      </c>
      <c r="D63" s="57" t="s">
        <v>123</v>
      </c>
      <c r="E63" s="57" t="s">
        <v>124</v>
      </c>
      <c r="F63" s="58">
        <v>7210</v>
      </c>
      <c r="G63" s="330">
        <v>11901.06</v>
      </c>
      <c r="H63" s="330"/>
      <c r="I63" s="330"/>
      <c r="J63" s="50">
        <f>G63</f>
        <v>11901.06</v>
      </c>
      <c r="K63" s="51"/>
      <c r="L63" s="52"/>
    </row>
    <row r="64" spans="1:12" s="12" customFormat="1" ht="12.75">
      <c r="A64" s="31">
        <v>8</v>
      </c>
      <c r="B64" s="331" t="s">
        <v>125</v>
      </c>
      <c r="C64" s="331"/>
      <c r="D64" s="331"/>
      <c r="E64" s="331"/>
      <c r="F64" s="332">
        <v>11901.06</v>
      </c>
      <c r="G64" s="332"/>
      <c r="H64" s="332"/>
      <c r="I64" s="332"/>
      <c r="J64" s="9">
        <f>F64</f>
        <v>11901.06</v>
      </c>
      <c r="K64" s="10"/>
      <c r="L64" s="11"/>
    </row>
    <row r="65" spans="1:12" s="12" customFormat="1" ht="12.75">
      <c r="A65" s="31">
        <v>9</v>
      </c>
      <c r="B65" s="21" t="s">
        <v>126</v>
      </c>
      <c r="C65" s="21"/>
      <c r="D65" s="21"/>
      <c r="E65" s="21"/>
      <c r="F65" s="22"/>
      <c r="G65" s="22"/>
      <c r="H65" s="22"/>
      <c r="I65" s="22"/>
      <c r="J65" s="9"/>
      <c r="K65" s="10"/>
      <c r="L65" s="11">
        <v>200000</v>
      </c>
    </row>
    <row r="66" spans="1:12" s="12" customFormat="1" ht="12.75">
      <c r="A66" s="31">
        <v>10</v>
      </c>
      <c r="B66" s="21" t="s">
        <v>127</v>
      </c>
      <c r="C66" s="21"/>
      <c r="D66" s="21"/>
      <c r="E66" s="21"/>
      <c r="F66" s="22"/>
      <c r="G66" s="22"/>
      <c r="H66" s="22"/>
      <c r="I66" s="22"/>
      <c r="J66" s="9"/>
      <c r="K66" s="10"/>
      <c r="L66" s="11">
        <v>200</v>
      </c>
    </row>
    <row r="67" spans="1:12" s="12" customFormat="1" ht="26.25" customHeight="1">
      <c r="A67" s="31">
        <v>11</v>
      </c>
      <c r="B67" s="333" t="s">
        <v>128</v>
      </c>
      <c r="C67" s="333"/>
      <c r="D67" s="21"/>
      <c r="E67" s="21"/>
      <c r="F67" s="23"/>
      <c r="G67" s="23"/>
      <c r="H67" s="23"/>
      <c r="I67" s="23"/>
      <c r="J67" s="24"/>
      <c r="K67" s="10"/>
      <c r="L67" s="11">
        <v>214250.01</v>
      </c>
    </row>
    <row r="68" spans="1:12" s="12" customFormat="1" ht="28.5" customHeight="1">
      <c r="A68" s="31">
        <v>12</v>
      </c>
      <c r="B68" s="334"/>
      <c r="C68" s="334"/>
      <c r="D68" s="25"/>
      <c r="E68" s="25"/>
      <c r="F68" s="327"/>
      <c r="G68" s="327"/>
      <c r="H68" s="327"/>
      <c r="I68" s="327"/>
      <c r="J68" s="9"/>
      <c r="K68" s="10"/>
      <c r="L68" s="11"/>
    </row>
    <row r="69" spans="1:12" s="12" customFormat="1" ht="15" customHeight="1">
      <c r="A69" s="31">
        <v>13</v>
      </c>
      <c r="B69" s="326"/>
      <c r="C69" s="326"/>
      <c r="D69" s="25"/>
      <c r="E69" s="25"/>
      <c r="F69" s="327"/>
      <c r="G69" s="327"/>
      <c r="H69" s="327"/>
      <c r="I69" s="327"/>
      <c r="J69" s="9"/>
      <c r="K69" s="10"/>
      <c r="L69" s="11"/>
    </row>
    <row r="70" spans="1:12" s="12" customFormat="1" ht="14.25" customHeight="1">
      <c r="A70" s="31">
        <v>14</v>
      </c>
      <c r="B70" s="326" t="s">
        <v>129</v>
      </c>
      <c r="C70" s="326"/>
      <c r="D70" s="20"/>
      <c r="E70" s="26"/>
      <c r="F70" s="327">
        <v>748547</v>
      </c>
      <c r="G70" s="327"/>
      <c r="H70" s="327"/>
      <c r="I70" s="327"/>
      <c r="J70" s="9">
        <f>F70</f>
        <v>748547</v>
      </c>
      <c r="K70" s="10"/>
      <c r="L70" s="11">
        <v>1601743</v>
      </c>
    </row>
    <row r="71" spans="1:12" s="12" customFormat="1" ht="14.25" customHeight="1">
      <c r="A71" s="31">
        <v>15</v>
      </c>
      <c r="B71" s="59" t="s">
        <v>142</v>
      </c>
      <c r="C71" s="59"/>
      <c r="D71" s="20"/>
      <c r="E71" s="26"/>
      <c r="F71" s="60"/>
      <c r="G71" s="60"/>
      <c r="H71" s="60"/>
      <c r="I71" s="60"/>
      <c r="J71" s="9"/>
      <c r="K71" s="10"/>
      <c r="L71" s="11"/>
    </row>
    <row r="72" spans="1:12" s="12" customFormat="1" ht="14.25" customHeight="1">
      <c r="A72" s="61">
        <v>16</v>
      </c>
      <c r="B72" s="73" t="s">
        <v>143</v>
      </c>
      <c r="C72" s="73"/>
      <c r="D72" s="62"/>
      <c r="E72" s="63"/>
      <c r="F72" s="74"/>
      <c r="G72" s="74"/>
      <c r="H72" s="74"/>
      <c r="I72" s="74"/>
      <c r="J72" s="64"/>
      <c r="K72" s="65"/>
      <c r="L72" s="66">
        <v>6244.46</v>
      </c>
    </row>
    <row r="73" spans="1:12" s="12" customFormat="1" ht="14.25" customHeight="1" thickBot="1">
      <c r="A73" s="61">
        <v>17</v>
      </c>
      <c r="B73" s="328" t="s">
        <v>130</v>
      </c>
      <c r="C73" s="328"/>
      <c r="D73" s="62"/>
      <c r="E73" s="63"/>
      <c r="F73" s="329">
        <f>30923.15+6299.04</f>
        <v>37222.19</v>
      </c>
      <c r="G73" s="329"/>
      <c r="H73" s="329"/>
      <c r="I73" s="329"/>
      <c r="J73" s="64">
        <f>F73</f>
        <v>37222.19</v>
      </c>
      <c r="K73" s="65"/>
      <c r="L73" s="66"/>
    </row>
    <row r="74" spans="1:12" s="7" customFormat="1" ht="19.5" customHeight="1" thickBot="1">
      <c r="A74" s="67"/>
      <c r="B74" s="324" t="s">
        <v>57</v>
      </c>
      <c r="C74" s="324"/>
      <c r="D74" s="68"/>
      <c r="E74" s="68"/>
      <c r="F74" s="69" t="s">
        <v>131</v>
      </c>
      <c r="G74" s="69"/>
      <c r="H74" s="69"/>
      <c r="I74" s="70">
        <f>F73+F70+F69+F68+F67+I66+I65+F64+F62+F60+F57+F52+F38+F9+F7</f>
        <v>854769.503</v>
      </c>
      <c r="J74" s="71">
        <f>J7+J9+J38+J52+J57+J60+J62+J64+J65+J66+J67+J68+J69+J70+J71+J73</f>
        <v>854769.503</v>
      </c>
      <c r="K74" s="71">
        <f>K7+K9+K38+K52+K57+K60+K62+K64+K65+K66+K67+K68+K69+K70+K71+K73</f>
        <v>0</v>
      </c>
      <c r="L74" s="72">
        <f>L71+L70+L67+L66+L65+L52+L9+L72</f>
        <v>2029948.47</v>
      </c>
    </row>
    <row r="76" spans="2:12" ht="15.75">
      <c r="B76" s="75" t="s">
        <v>133</v>
      </c>
      <c r="L76" s="76" t="s">
        <v>141</v>
      </c>
    </row>
  </sheetData>
  <sheetProtection/>
  <mergeCells count="84">
    <mergeCell ref="A3:A4"/>
    <mergeCell ref="B3:B4"/>
    <mergeCell ref="C3:C4"/>
    <mergeCell ref="D3:D4"/>
    <mergeCell ref="E3:E4"/>
    <mergeCell ref="F3:L3"/>
    <mergeCell ref="G4:I4"/>
    <mergeCell ref="G5:I5"/>
    <mergeCell ref="G6:I6"/>
    <mergeCell ref="B7:E7"/>
    <mergeCell ref="F7:I7"/>
    <mergeCell ref="G8:I8"/>
    <mergeCell ref="B9:E9"/>
    <mergeCell ref="F9:I9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28:I28"/>
    <mergeCell ref="G29:I29"/>
    <mergeCell ref="G30:I30"/>
    <mergeCell ref="G31:I31"/>
    <mergeCell ref="G32:I32"/>
    <mergeCell ref="G33:I33"/>
    <mergeCell ref="G34:I34"/>
    <mergeCell ref="G35:I35"/>
    <mergeCell ref="G36:I36"/>
    <mergeCell ref="G37:I37"/>
    <mergeCell ref="B38:E38"/>
    <mergeCell ref="F38:I38"/>
    <mergeCell ref="G39:I39"/>
    <mergeCell ref="G40:I40"/>
    <mergeCell ref="G41:I41"/>
    <mergeCell ref="G42:I42"/>
    <mergeCell ref="G43:I43"/>
    <mergeCell ref="G44:I44"/>
    <mergeCell ref="G45:I45"/>
    <mergeCell ref="G46:I46"/>
    <mergeCell ref="G47:I47"/>
    <mergeCell ref="G48:I48"/>
    <mergeCell ref="G49:I49"/>
    <mergeCell ref="B52:E52"/>
    <mergeCell ref="F52:I52"/>
    <mergeCell ref="F62:I62"/>
    <mergeCell ref="G53:I53"/>
    <mergeCell ref="G54:I54"/>
    <mergeCell ref="G55:I55"/>
    <mergeCell ref="G56:I56"/>
    <mergeCell ref="B57:E57"/>
    <mergeCell ref="F57:I57"/>
    <mergeCell ref="F64:I64"/>
    <mergeCell ref="B67:C67"/>
    <mergeCell ref="B68:C68"/>
    <mergeCell ref="F68:I68"/>
    <mergeCell ref="G58:I58"/>
    <mergeCell ref="G59:I59"/>
    <mergeCell ref="B60:E60"/>
    <mergeCell ref="F60:I60"/>
    <mergeCell ref="G61:I61"/>
    <mergeCell ref="B62:E62"/>
    <mergeCell ref="B74:C74"/>
    <mergeCell ref="A1:L1"/>
    <mergeCell ref="B69:C69"/>
    <mergeCell ref="F69:I69"/>
    <mergeCell ref="B70:C70"/>
    <mergeCell ref="F70:I70"/>
    <mergeCell ref="B73:C73"/>
    <mergeCell ref="F73:I73"/>
    <mergeCell ref="G63:I63"/>
    <mergeCell ref="B64:E6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619428"/>
  </sheetPr>
  <dimension ref="A1:H56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5.28125" style="93" customWidth="1"/>
    <col min="2" max="2" width="38.140625" style="92" customWidth="1"/>
    <col min="3" max="3" width="10.28125" style="92" customWidth="1"/>
    <col min="4" max="4" width="12.7109375" style="92" bestFit="1" customWidth="1"/>
    <col min="5" max="6" width="11.140625" style="92" customWidth="1"/>
    <col min="7" max="7" width="9.140625" style="92" customWidth="1"/>
    <col min="8" max="8" width="13.140625" style="92" bestFit="1" customWidth="1"/>
    <col min="9" max="16384" width="9.140625" style="92" customWidth="1"/>
  </cols>
  <sheetData>
    <row r="1" spans="1:7" ht="37.5" customHeight="1">
      <c r="A1" s="358" t="s">
        <v>215</v>
      </c>
      <c r="B1" s="358"/>
      <c r="C1" s="358"/>
      <c r="D1" s="358"/>
      <c r="E1" s="358"/>
      <c r="F1" s="358"/>
      <c r="G1" s="358"/>
    </row>
    <row r="2" ht="13.5" thickBot="1"/>
    <row r="3" spans="1:7" ht="22.5" customHeight="1">
      <c r="A3" s="352" t="s">
        <v>59</v>
      </c>
      <c r="B3" s="354" t="s">
        <v>167</v>
      </c>
      <c r="C3" s="354" t="s">
        <v>168</v>
      </c>
      <c r="D3" s="354" t="s">
        <v>169</v>
      </c>
      <c r="E3" s="354"/>
      <c r="F3" s="354"/>
      <c r="G3" s="357"/>
    </row>
    <row r="4" spans="1:7" s="94" customFormat="1" ht="12.75">
      <c r="A4" s="353"/>
      <c r="B4" s="355"/>
      <c r="C4" s="355"/>
      <c r="D4" s="121" t="s">
        <v>170</v>
      </c>
      <c r="E4" s="121" t="s">
        <v>171</v>
      </c>
      <c r="F4" s="121" t="s">
        <v>172</v>
      </c>
      <c r="G4" s="122" t="s">
        <v>154</v>
      </c>
    </row>
    <row r="5" spans="1:8" s="100" customFormat="1" ht="25.5">
      <c r="A5" s="95">
        <v>1</v>
      </c>
      <c r="B5" s="96" t="s">
        <v>173</v>
      </c>
      <c r="C5" s="97" t="s">
        <v>174</v>
      </c>
      <c r="D5" s="98">
        <f>D6+D9+D12+D13</f>
        <v>200892.84000000003</v>
      </c>
      <c r="E5" s="98">
        <f>E6+E9+E12+E13</f>
        <v>200892.84000000003</v>
      </c>
      <c r="F5" s="118">
        <f>D5-E5</f>
        <v>0</v>
      </c>
      <c r="G5" s="99">
        <f>F5/D5*100</f>
        <v>0</v>
      </c>
      <c r="H5" s="101"/>
    </row>
    <row r="6" spans="1:7" ht="12.75">
      <c r="A6" s="102" t="s">
        <v>22</v>
      </c>
      <c r="B6" s="103" t="s">
        <v>175</v>
      </c>
      <c r="C6" s="104" t="s">
        <v>174</v>
      </c>
      <c r="D6" s="105">
        <v>121119.38</v>
      </c>
      <c r="E6" s="105">
        <v>121119.38</v>
      </c>
      <c r="F6" s="119">
        <f aca="true" t="shared" si="0" ref="F6:F26">D6-E6</f>
        <v>0</v>
      </c>
      <c r="G6" s="123"/>
    </row>
    <row r="7" spans="1:7" ht="12.75">
      <c r="A7" s="102"/>
      <c r="B7" s="103" t="s">
        <v>176</v>
      </c>
      <c r="C7" s="104" t="s">
        <v>177</v>
      </c>
      <c r="D7" s="104">
        <v>3</v>
      </c>
      <c r="E7" s="104">
        <v>3</v>
      </c>
      <c r="F7" s="120"/>
      <c r="G7" s="123"/>
    </row>
    <row r="8" spans="1:7" ht="12.75" customHeight="1">
      <c r="A8" s="102"/>
      <c r="B8" s="103" t="s">
        <v>178</v>
      </c>
      <c r="C8" s="104" t="s">
        <v>177</v>
      </c>
      <c r="D8" s="104">
        <v>2</v>
      </c>
      <c r="E8" s="104">
        <v>2</v>
      </c>
      <c r="F8" s="120"/>
      <c r="G8" s="123"/>
    </row>
    <row r="9" spans="1:7" ht="13.5" customHeight="1">
      <c r="A9" s="102" t="s">
        <v>17</v>
      </c>
      <c r="B9" s="106" t="s">
        <v>179</v>
      </c>
      <c r="C9" s="104" t="s">
        <v>174</v>
      </c>
      <c r="D9" s="105">
        <v>52383.97</v>
      </c>
      <c r="E9" s="105">
        <v>52383.97</v>
      </c>
      <c r="F9" s="119">
        <f t="shared" si="0"/>
        <v>0</v>
      </c>
      <c r="G9" s="123"/>
    </row>
    <row r="10" spans="1:7" ht="13.5" customHeight="1">
      <c r="A10" s="102"/>
      <c r="B10" s="103" t="s">
        <v>176</v>
      </c>
      <c r="C10" s="104" t="s">
        <v>177</v>
      </c>
      <c r="D10" s="104">
        <v>6</v>
      </c>
      <c r="E10" s="104">
        <v>6</v>
      </c>
      <c r="F10" s="120"/>
      <c r="G10" s="123"/>
    </row>
    <row r="11" spans="1:7" ht="13.5" customHeight="1">
      <c r="A11" s="102"/>
      <c r="B11" s="103" t="s">
        <v>178</v>
      </c>
      <c r="C11" s="104" t="s">
        <v>177</v>
      </c>
      <c r="D11" s="104">
        <v>1</v>
      </c>
      <c r="E11" s="104">
        <v>1</v>
      </c>
      <c r="F11" s="120"/>
      <c r="G11" s="123"/>
    </row>
    <row r="12" spans="1:7" ht="13.5" customHeight="1">
      <c r="A12" s="102" t="s">
        <v>46</v>
      </c>
      <c r="B12" s="106" t="s">
        <v>180</v>
      </c>
      <c r="C12" s="104" t="s">
        <v>174</v>
      </c>
      <c r="D12" s="105">
        <v>570.29</v>
      </c>
      <c r="E12" s="105">
        <v>570.29</v>
      </c>
      <c r="F12" s="119">
        <f t="shared" si="0"/>
        <v>0</v>
      </c>
      <c r="G12" s="123"/>
    </row>
    <row r="13" spans="1:7" ht="13.5" customHeight="1">
      <c r="A13" s="102" t="s">
        <v>47</v>
      </c>
      <c r="B13" s="106" t="s">
        <v>181</v>
      </c>
      <c r="C13" s="104" t="s">
        <v>174</v>
      </c>
      <c r="D13" s="105">
        <f>D14+D17+D18</f>
        <v>26819.2</v>
      </c>
      <c r="E13" s="105">
        <f>E14+E17+E18</f>
        <v>26819.2</v>
      </c>
      <c r="F13" s="119">
        <f t="shared" si="0"/>
        <v>0</v>
      </c>
      <c r="G13" s="123"/>
    </row>
    <row r="14" spans="1:7" ht="25.5" customHeight="1">
      <c r="A14" s="102" t="s">
        <v>182</v>
      </c>
      <c r="B14" s="106" t="s">
        <v>183</v>
      </c>
      <c r="C14" s="104" t="s">
        <v>174</v>
      </c>
      <c r="D14" s="105">
        <v>17085.93</v>
      </c>
      <c r="E14" s="105">
        <v>17085.93</v>
      </c>
      <c r="F14" s="119">
        <f t="shared" si="0"/>
        <v>0</v>
      </c>
      <c r="G14" s="123"/>
    </row>
    <row r="15" spans="1:7" ht="13.5" customHeight="1">
      <c r="A15" s="102"/>
      <c r="B15" s="103" t="s">
        <v>176</v>
      </c>
      <c r="C15" s="104" t="s">
        <v>177</v>
      </c>
      <c r="D15" s="104">
        <v>1</v>
      </c>
      <c r="E15" s="104">
        <v>1</v>
      </c>
      <c r="F15" s="120"/>
      <c r="G15" s="123"/>
    </row>
    <row r="16" spans="1:7" ht="13.5" customHeight="1">
      <c r="A16" s="102"/>
      <c r="B16" s="103" t="s">
        <v>178</v>
      </c>
      <c r="C16" s="104" t="s">
        <v>177</v>
      </c>
      <c r="D16" s="104">
        <v>1</v>
      </c>
      <c r="E16" s="104">
        <v>1</v>
      </c>
      <c r="F16" s="120"/>
      <c r="G16" s="123"/>
    </row>
    <row r="17" spans="1:7" ht="13.5" customHeight="1">
      <c r="A17" s="102" t="s">
        <v>184</v>
      </c>
      <c r="B17" s="107" t="s">
        <v>185</v>
      </c>
      <c r="C17" s="104" t="s">
        <v>174</v>
      </c>
      <c r="D17" s="108">
        <v>4171.4</v>
      </c>
      <c r="E17" s="105">
        <v>4171.4</v>
      </c>
      <c r="F17" s="119">
        <v>0</v>
      </c>
      <c r="G17" s="123"/>
    </row>
    <row r="18" spans="1:7" ht="13.5" customHeight="1">
      <c r="A18" s="102" t="s">
        <v>186</v>
      </c>
      <c r="B18" s="106" t="s">
        <v>187</v>
      </c>
      <c r="C18" s="104" t="s">
        <v>174</v>
      </c>
      <c r="D18" s="105">
        <v>5561.87</v>
      </c>
      <c r="E18" s="105">
        <v>5561.87</v>
      </c>
      <c r="F18" s="119">
        <v>0</v>
      </c>
      <c r="G18" s="123"/>
    </row>
    <row r="19" spans="1:7" s="100" customFormat="1" ht="13.5" customHeight="1">
      <c r="A19" s="95">
        <v>2</v>
      </c>
      <c r="B19" s="109" t="s">
        <v>188</v>
      </c>
      <c r="C19" s="97" t="s">
        <v>174</v>
      </c>
      <c r="D19" s="98">
        <v>32555</v>
      </c>
      <c r="E19" s="98">
        <v>34251.54</v>
      </c>
      <c r="F19" s="118">
        <f t="shared" si="0"/>
        <v>-1696.5400000000009</v>
      </c>
      <c r="G19" s="124">
        <f>F19/D19*100</f>
        <v>-5.2113039471663365</v>
      </c>
    </row>
    <row r="20" spans="1:7" s="100" customFormat="1" ht="40.5" customHeight="1">
      <c r="A20" s="95">
        <v>3</v>
      </c>
      <c r="B20" s="109" t="s">
        <v>189</v>
      </c>
      <c r="C20" s="97" t="s">
        <v>174</v>
      </c>
      <c r="D20" s="98">
        <f>D23+D24+D27</f>
        <v>183446.92</v>
      </c>
      <c r="E20" s="98">
        <f>E23+E24+E27</f>
        <v>182952.81</v>
      </c>
      <c r="F20" s="118">
        <f>F23+F24+F27</f>
        <v>494.11000000001513</v>
      </c>
      <c r="G20" s="124">
        <f>F20/D20*100</f>
        <v>0.269347667434272</v>
      </c>
    </row>
    <row r="21" spans="1:7" ht="13.5" customHeight="1">
      <c r="A21" s="102"/>
      <c r="B21" s="106" t="s">
        <v>190</v>
      </c>
      <c r="C21" s="104" t="s">
        <v>191</v>
      </c>
      <c r="D21" s="105">
        <v>3.05</v>
      </c>
      <c r="E21" s="105"/>
      <c r="F21" s="119">
        <f t="shared" si="0"/>
        <v>3.05</v>
      </c>
      <c r="G21" s="123"/>
    </row>
    <row r="22" spans="1:7" ht="13.5" customHeight="1">
      <c r="A22" s="102"/>
      <c r="B22" s="106" t="s">
        <v>192</v>
      </c>
      <c r="C22" s="104" t="s">
        <v>177</v>
      </c>
      <c r="D22" s="104">
        <v>1</v>
      </c>
      <c r="E22" s="104"/>
      <c r="F22" s="120">
        <f t="shared" si="0"/>
        <v>1</v>
      </c>
      <c r="G22" s="123"/>
    </row>
    <row r="23" spans="1:7" ht="13.5" customHeight="1">
      <c r="A23" s="102" t="s">
        <v>193</v>
      </c>
      <c r="B23" s="106" t="s">
        <v>194</v>
      </c>
      <c r="C23" s="104" t="s">
        <v>174</v>
      </c>
      <c r="D23" s="105">
        <v>7849.53</v>
      </c>
      <c r="E23" s="105">
        <v>7849.53</v>
      </c>
      <c r="F23" s="119">
        <f t="shared" si="0"/>
        <v>0</v>
      </c>
      <c r="G23" s="123"/>
    </row>
    <row r="24" spans="1:7" ht="40.5" customHeight="1">
      <c r="A24" s="102" t="s">
        <v>195</v>
      </c>
      <c r="B24" s="106" t="s">
        <v>196</v>
      </c>
      <c r="C24" s="104" t="s">
        <v>174</v>
      </c>
      <c r="D24" s="105">
        <v>37761.38</v>
      </c>
      <c r="E24" s="105">
        <v>37761.38</v>
      </c>
      <c r="F24" s="119">
        <f t="shared" si="0"/>
        <v>0</v>
      </c>
      <c r="G24" s="123"/>
    </row>
    <row r="25" spans="1:7" ht="13.5" customHeight="1">
      <c r="A25" s="102"/>
      <c r="B25" s="106" t="s">
        <v>197</v>
      </c>
      <c r="C25" s="104" t="s">
        <v>191</v>
      </c>
      <c r="D25" s="105">
        <v>0.65</v>
      </c>
      <c r="E25" s="105"/>
      <c r="F25" s="119">
        <f t="shared" si="0"/>
        <v>0.65</v>
      </c>
      <c r="G25" s="123"/>
    </row>
    <row r="26" spans="1:7" ht="13.5" customHeight="1">
      <c r="A26" s="102"/>
      <c r="B26" s="106" t="s">
        <v>178</v>
      </c>
      <c r="C26" s="104" t="s">
        <v>177</v>
      </c>
      <c r="D26" s="104">
        <v>1</v>
      </c>
      <c r="E26" s="104"/>
      <c r="F26" s="120">
        <f t="shared" si="0"/>
        <v>1</v>
      </c>
      <c r="G26" s="123"/>
    </row>
    <row r="27" spans="1:7" ht="40.5" customHeight="1">
      <c r="A27" s="102" t="s">
        <v>198</v>
      </c>
      <c r="B27" s="116" t="s">
        <v>199</v>
      </c>
      <c r="C27" s="104" t="s">
        <v>174</v>
      </c>
      <c r="D27" s="105">
        <v>137836.01</v>
      </c>
      <c r="E27" s="105">
        <v>137341.9</v>
      </c>
      <c r="F27" s="119">
        <f>D27-E27</f>
        <v>494.11000000001513</v>
      </c>
      <c r="G27" s="123"/>
    </row>
    <row r="28" spans="1:7" ht="13.5" customHeight="1">
      <c r="A28" s="102"/>
      <c r="B28" s="106" t="s">
        <v>197</v>
      </c>
      <c r="C28" s="104" t="s">
        <v>191</v>
      </c>
      <c r="D28" s="105">
        <v>2.4</v>
      </c>
      <c r="E28" s="105"/>
      <c r="F28" s="119">
        <f>D28-E28</f>
        <v>2.4</v>
      </c>
      <c r="G28" s="123"/>
    </row>
    <row r="29" spans="1:7" ht="13.5" customHeight="1">
      <c r="A29" s="102"/>
      <c r="B29" s="106" t="s">
        <v>176</v>
      </c>
      <c r="C29" s="104" t="s">
        <v>177</v>
      </c>
      <c r="D29" s="104">
        <v>1</v>
      </c>
      <c r="E29" s="105"/>
      <c r="F29" s="120">
        <f>D29-E29</f>
        <v>1</v>
      </c>
      <c r="G29" s="123"/>
    </row>
    <row r="30" spans="1:7" ht="13.5" customHeight="1" thickBot="1">
      <c r="A30" s="130"/>
      <c r="B30" s="131" t="s">
        <v>178</v>
      </c>
      <c r="C30" s="132" t="s">
        <v>177</v>
      </c>
      <c r="D30" s="132">
        <v>2</v>
      </c>
      <c r="E30" s="132"/>
      <c r="F30" s="133">
        <f>D30-E30</f>
        <v>2</v>
      </c>
      <c r="G30" s="126"/>
    </row>
    <row r="31" spans="1:7" ht="13.5" customHeight="1" thickBot="1">
      <c r="A31" s="139"/>
      <c r="B31" s="140" t="s">
        <v>216</v>
      </c>
      <c r="C31" s="141"/>
      <c r="D31" s="142">
        <f>D5+D19+D20</f>
        <v>416894.76</v>
      </c>
      <c r="E31" s="142">
        <f>E5+E19+E20</f>
        <v>418097.19000000006</v>
      </c>
      <c r="F31" s="142">
        <f>F5+F19+F20</f>
        <v>-1202.4299999999857</v>
      </c>
      <c r="G31" s="143"/>
    </row>
    <row r="32" spans="1:7" ht="33" customHeight="1">
      <c r="A32" s="134" t="s">
        <v>44</v>
      </c>
      <c r="B32" s="135" t="s">
        <v>219</v>
      </c>
      <c r="C32" s="136" t="s">
        <v>174</v>
      </c>
      <c r="D32" s="136">
        <v>0</v>
      </c>
      <c r="E32" s="137">
        <f>SUM(E33:E35)</f>
        <v>3048.118</v>
      </c>
      <c r="F32" s="137">
        <f>SUM(F33:F35)</f>
        <v>-3048.118</v>
      </c>
      <c r="G32" s="138"/>
    </row>
    <row r="33" spans="1:7" ht="38.25">
      <c r="A33" s="102" t="s">
        <v>209</v>
      </c>
      <c r="B33" s="106" t="s">
        <v>210</v>
      </c>
      <c r="C33" s="104" t="s">
        <v>174</v>
      </c>
      <c r="D33" s="104">
        <v>0</v>
      </c>
      <c r="E33" s="105">
        <v>1524.112</v>
      </c>
      <c r="F33" s="120">
        <f aca="true" t="shared" si="1" ref="F33:F38">D33-E33</f>
        <v>-1524.112</v>
      </c>
      <c r="G33" s="123"/>
    </row>
    <row r="34" spans="1:7" ht="25.5">
      <c r="A34" s="102" t="s">
        <v>211</v>
      </c>
      <c r="B34" s="106" t="s">
        <v>212</v>
      </c>
      <c r="C34" s="104" t="s">
        <v>174</v>
      </c>
      <c r="D34" s="104">
        <v>0</v>
      </c>
      <c r="E34" s="117">
        <v>1366.071</v>
      </c>
      <c r="F34" s="119">
        <f t="shared" si="1"/>
        <v>-1366.071</v>
      </c>
      <c r="G34" s="123"/>
    </row>
    <row r="35" spans="1:7" ht="25.5">
      <c r="A35" s="102" t="s">
        <v>213</v>
      </c>
      <c r="B35" s="106" t="s">
        <v>214</v>
      </c>
      <c r="C35" s="104" t="s">
        <v>174</v>
      </c>
      <c r="D35" s="104">
        <v>0</v>
      </c>
      <c r="E35" s="117">
        <v>157.935</v>
      </c>
      <c r="F35" s="119">
        <f t="shared" si="1"/>
        <v>-157.935</v>
      </c>
      <c r="G35" s="123"/>
    </row>
    <row r="36" spans="1:7" ht="12.75">
      <c r="A36" s="157">
        <v>5</v>
      </c>
      <c r="B36" s="144" t="s">
        <v>217</v>
      </c>
      <c r="C36" s="136" t="s">
        <v>174</v>
      </c>
      <c r="D36" s="149">
        <f>SUM(D37:D38)</f>
        <v>0</v>
      </c>
      <c r="E36" s="149">
        <f>SUM(E37:E38)</f>
        <v>401.12</v>
      </c>
      <c r="F36" s="149">
        <f>SUM(F37:F38)</f>
        <v>-401.12</v>
      </c>
      <c r="G36" s="123"/>
    </row>
    <row r="37" spans="1:7" ht="12.75">
      <c r="A37" s="127" t="s">
        <v>49</v>
      </c>
      <c r="B37" s="128" t="s">
        <v>203</v>
      </c>
      <c r="C37" s="104" t="s">
        <v>174</v>
      </c>
      <c r="D37" s="145">
        <v>0</v>
      </c>
      <c r="E37" s="146">
        <v>274.73</v>
      </c>
      <c r="F37" s="147">
        <f t="shared" si="1"/>
        <v>-274.73</v>
      </c>
      <c r="G37" s="148"/>
    </row>
    <row r="38" spans="1:7" ht="12.75">
      <c r="A38" s="150" t="s">
        <v>50</v>
      </c>
      <c r="B38" s="151" t="s">
        <v>204</v>
      </c>
      <c r="C38" s="132" t="s">
        <v>174</v>
      </c>
      <c r="D38" s="152">
        <v>0</v>
      </c>
      <c r="E38" s="151">
        <v>126.39</v>
      </c>
      <c r="F38" s="153">
        <f t="shared" si="1"/>
        <v>-126.39</v>
      </c>
      <c r="G38" s="126"/>
    </row>
    <row r="39" spans="1:8" s="100" customFormat="1" ht="20.25" customHeight="1">
      <c r="A39" s="154"/>
      <c r="B39" s="155" t="s">
        <v>218</v>
      </c>
      <c r="C39" s="156"/>
      <c r="D39" s="156">
        <f>D32+D36</f>
        <v>0</v>
      </c>
      <c r="E39" s="156">
        <f>E32+E36</f>
        <v>3449.238</v>
      </c>
      <c r="F39" s="156">
        <f>F32+F36</f>
        <v>-3449.238</v>
      </c>
      <c r="G39" s="156"/>
      <c r="H39" s="101"/>
    </row>
    <row r="40" spans="1:6" ht="12.75">
      <c r="A40" s="92"/>
      <c r="D40" s="159">
        <f>D31+D39</f>
        <v>416894.76</v>
      </c>
      <c r="E40" s="159">
        <f>E31+E39</f>
        <v>421546.4280000001</v>
      </c>
      <c r="F40" s="159">
        <f>F31+F39</f>
        <v>-4651.667999999985</v>
      </c>
    </row>
    <row r="41" spans="1:6" ht="12.75">
      <c r="A41" s="92"/>
      <c r="F41" s="129">
        <f>(D40-E40)/D40*100</f>
        <v>-1.1157895100432693</v>
      </c>
    </row>
    <row r="42" spans="5:6" ht="12.75">
      <c r="E42" s="110">
        <f>D40-E40</f>
        <v>-4651.668000000063</v>
      </c>
      <c r="F42" s="158"/>
    </row>
    <row r="43" spans="2:4" ht="12.75" hidden="1">
      <c r="B43" s="92" t="s">
        <v>200</v>
      </c>
      <c r="D43" s="125">
        <v>570</v>
      </c>
    </row>
    <row r="44" spans="2:4" ht="12.75" hidden="1">
      <c r="B44" s="92" t="s">
        <v>201</v>
      </c>
      <c r="D44" s="110">
        <f>D31-D43</f>
        <v>416324.76</v>
      </c>
    </row>
    <row r="45" spans="1:4" s="100" customFormat="1" ht="12.75" hidden="1">
      <c r="A45" s="111"/>
      <c r="B45" s="100" t="s">
        <v>202</v>
      </c>
      <c r="D45" s="101"/>
    </row>
    <row r="46" ht="12.75" hidden="1">
      <c r="A46" s="92"/>
    </row>
    <row r="47" ht="12.75" hidden="1">
      <c r="A47" s="92"/>
    </row>
    <row r="48" spans="1:5" ht="12.75" hidden="1">
      <c r="A48" s="93">
        <v>3</v>
      </c>
      <c r="B48" s="112" t="s">
        <v>205</v>
      </c>
      <c r="D48" s="101"/>
      <c r="E48" s="92">
        <f>0.29+1696.54</f>
        <v>1696.83</v>
      </c>
    </row>
    <row r="49" spans="1:5" s="100" customFormat="1" ht="27" customHeight="1" hidden="1">
      <c r="A49" s="111"/>
      <c r="B49" s="113" t="s">
        <v>206</v>
      </c>
      <c r="C49" s="114"/>
      <c r="D49" s="115"/>
      <c r="E49" s="114">
        <f>E45+E48</f>
        <v>1696.83</v>
      </c>
    </row>
    <row r="50" ht="12.75" hidden="1">
      <c r="D50" s="101"/>
    </row>
    <row r="51" ht="12.75" hidden="1">
      <c r="B51" s="100" t="s">
        <v>207</v>
      </c>
    </row>
    <row r="52" spans="1:5" ht="12.75" hidden="1">
      <c r="A52" s="93">
        <v>1</v>
      </c>
      <c r="B52" s="92" t="s">
        <v>208</v>
      </c>
      <c r="E52" s="92">
        <v>312.5</v>
      </c>
    </row>
    <row r="53" ht="12.75" hidden="1"/>
    <row r="54" spans="4:6" ht="12.75">
      <c r="D54" s="110"/>
      <c r="E54" s="110"/>
      <c r="F54" s="110"/>
    </row>
    <row r="55" spans="1:6" ht="12.75">
      <c r="A55" s="356"/>
      <c r="B55" s="356"/>
      <c r="F55" s="158"/>
    </row>
    <row r="56" ht="12.75">
      <c r="F56" s="110"/>
    </row>
  </sheetData>
  <sheetProtection/>
  <mergeCells count="6">
    <mergeCell ref="A3:A4"/>
    <mergeCell ref="B3:B4"/>
    <mergeCell ref="C3:C4"/>
    <mergeCell ref="A55:B55"/>
    <mergeCell ref="D3:G3"/>
    <mergeCell ref="A1:G1"/>
  </mergeCells>
  <printOptions/>
  <pageMargins left="0.7" right="0.7" top="0.75" bottom="0.75" header="0.3" footer="0.3"/>
  <pageSetup horizontalDpi="600" verticalDpi="600" orientation="portrait" paperSize="9" scale="91" r:id="rId1"/>
  <ignoredErrors>
    <ignoredError sqref="F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2020-03-03T11:40:17Z</cp:lastPrinted>
  <dcterms:created xsi:type="dcterms:W3CDTF">1996-10-08T23:32:33Z</dcterms:created>
  <dcterms:modified xsi:type="dcterms:W3CDTF">2020-03-03T11:40:26Z</dcterms:modified>
  <cp:category/>
  <cp:version/>
  <cp:contentType/>
  <cp:contentStatus/>
</cp:coreProperties>
</file>